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ccoyouth.sharepoint.com/sites/MCCOY_Management/Shared Documents/Finance/BUDGET/2026/"/>
    </mc:Choice>
  </mc:AlternateContent>
  <xr:revisionPtr revIDLastSave="14" documentId="8_{AAA5DA35-75FF-4FEE-B665-4296C6E748BB}" xr6:coauthVersionLast="47" xr6:coauthVersionMax="47" xr10:uidLastSave="{20122D4D-CFC3-4303-A1DE-0A1EB05FBF75}"/>
  <bookViews>
    <workbookView xWindow="-108" yWindow="-108" windowWidth="23256" windowHeight="13896" tabRatio="707" firstSheet="4" activeTab="4" xr2:uid="{31A54A33-0A6F-47A4-978A-EC701B03BB7C}"/>
  </bookViews>
  <sheets>
    <sheet name="Budget Summaries &gt;&gt;&gt;" sheetId="15" r:id="rId1"/>
    <sheet name="Budget - Comparison_MAY" sheetId="14" r:id="rId2"/>
    <sheet name="zBudget - Comparison_MAY" sheetId="11" state="hidden" r:id="rId3"/>
    <sheet name="2026 Budget - Summary" sheetId="10" r:id="rId4"/>
    <sheet name="2026 Budget - Detail" sheetId="9" r:id="rId5"/>
    <sheet name="Budget Sheets &gt;&gt;&gt;" sheetId="17" r:id="rId6"/>
    <sheet name="Budget APPR 12.2026 w FIXES" sheetId="1" r:id="rId7"/>
    <sheet name="Budget APPR w FIXES and ADJ" sheetId="8" r:id="rId8"/>
    <sheet name="Revenue Act v Budget" sheetId="3" r:id="rId9"/>
  </sheets>
  <definedNames>
    <definedName name="_xlnm.Print_Area" localSheetId="4">'2026 Budget - Detail'!$B$3:$X$123</definedName>
    <definedName name="_xlnm.Print_Area" localSheetId="6">'Budget APPR 12.2026 w FIXES'!$A$1:$W$105</definedName>
    <definedName name="_xlnm.Print_Area" localSheetId="7">'Budget APPR w FIXES and ADJ'!$A$1:$W$106</definedName>
    <definedName name="_xlnm.Print_Area" localSheetId="8">'Revenue Act v Budget'!$A$1:$K$32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3" l="1"/>
  <c r="E44" i="14"/>
  <c r="D44" i="14"/>
  <c r="D23" i="14"/>
  <c r="E23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28" i="14"/>
  <c r="D29" i="14"/>
  <c r="D30" i="14"/>
  <c r="F30" i="14" s="1"/>
  <c r="G30" i="14" s="1"/>
  <c r="D31" i="14"/>
  <c r="F31" i="14" s="1"/>
  <c r="G31" i="14" s="1"/>
  <c r="D32" i="14"/>
  <c r="D33" i="14"/>
  <c r="D34" i="14"/>
  <c r="F34" i="14" s="1"/>
  <c r="G34" i="14" s="1"/>
  <c r="D35" i="14"/>
  <c r="F35" i="14" s="1"/>
  <c r="G35" i="14" s="1"/>
  <c r="D36" i="14"/>
  <c r="F36" i="14" s="1"/>
  <c r="G36" i="14" s="1"/>
  <c r="D37" i="14"/>
  <c r="F37" i="14" s="1"/>
  <c r="G37" i="14" s="1"/>
  <c r="D38" i="14"/>
  <c r="F38" i="14" s="1"/>
  <c r="G38" i="14" s="1"/>
  <c r="D39" i="14"/>
  <c r="F39" i="14" s="1"/>
  <c r="G39" i="14" s="1"/>
  <c r="D40" i="14"/>
  <c r="D41" i="14"/>
  <c r="D28" i="14"/>
  <c r="F28" i="14" s="1"/>
  <c r="D13" i="14"/>
  <c r="D14" i="14"/>
  <c r="F14" i="14" s="1"/>
  <c r="G14" i="14" s="1"/>
  <c r="D15" i="14"/>
  <c r="F15" i="14" s="1"/>
  <c r="G15" i="14" s="1"/>
  <c r="D16" i="14"/>
  <c r="F16" i="14" s="1"/>
  <c r="G16" i="14" s="1"/>
  <c r="D17" i="14"/>
  <c r="D18" i="14"/>
  <c r="D12" i="14"/>
  <c r="F12" i="14" s="1"/>
  <c r="G12" i="14" s="1"/>
  <c r="E14" i="14"/>
  <c r="E17" i="14"/>
  <c r="E15" i="14"/>
  <c r="E16" i="14"/>
  <c r="E18" i="14"/>
  <c r="E13" i="14"/>
  <c r="E12" i="14"/>
  <c r="F17" i="14" l="1"/>
  <c r="G17" i="14" s="1"/>
  <c r="F33" i="14"/>
  <c r="G33" i="14" s="1"/>
  <c r="F32" i="14"/>
  <c r="G32" i="14" s="1"/>
  <c r="D22" i="14"/>
  <c r="D24" i="14" s="1"/>
  <c r="F29" i="14"/>
  <c r="G29" i="14" s="1"/>
  <c r="F18" i="14"/>
  <c r="G18" i="14" s="1"/>
  <c r="F41" i="14"/>
  <c r="G41" i="14" s="1"/>
  <c r="F40" i="14"/>
  <c r="G40" i="14" s="1"/>
  <c r="F43" i="14"/>
  <c r="G43" i="14" s="1"/>
  <c r="G28" i="14"/>
  <c r="F13" i="14"/>
  <c r="G13" i="14" s="1"/>
  <c r="D43" i="14"/>
  <c r="D45" i="14" s="1"/>
  <c r="E43" i="14"/>
  <c r="E45" i="14" s="1"/>
  <c r="E22" i="14"/>
  <c r="D47" i="14" l="1"/>
  <c r="F22" i="14"/>
  <c r="G22" i="14" s="1"/>
  <c r="E47" i="14"/>
  <c r="E24" i="14"/>
  <c r="F12" i="11" l="1"/>
  <c r="C40" i="11"/>
  <c r="C39" i="11"/>
  <c r="C38" i="11"/>
  <c r="C37" i="11"/>
  <c r="C36" i="11"/>
  <c r="C35" i="11"/>
  <c r="E35" i="11" s="1"/>
  <c r="C34" i="11"/>
  <c r="E34" i="11" s="1"/>
  <c r="C33" i="11"/>
  <c r="E33" i="11" s="1"/>
  <c r="C32" i="11"/>
  <c r="C31" i="11"/>
  <c r="E31" i="11" s="1"/>
  <c r="C30" i="11"/>
  <c r="E30" i="11" s="1"/>
  <c r="C29" i="11"/>
  <c r="E29" i="11" s="1"/>
  <c r="C28" i="11"/>
  <c r="C27" i="11"/>
  <c r="C26" i="11"/>
  <c r="C11" i="11"/>
  <c r="C12" i="11"/>
  <c r="E12" i="11" s="1"/>
  <c r="C13" i="11"/>
  <c r="C14" i="11"/>
  <c r="C15" i="11"/>
  <c r="C16" i="11"/>
  <c r="C17" i="11"/>
  <c r="C18" i="11"/>
  <c r="C19" i="11"/>
  <c r="C10" i="11"/>
  <c r="D42" i="11"/>
  <c r="D40" i="11"/>
  <c r="E40" i="11" s="1"/>
  <c r="D39" i="11"/>
  <c r="E39" i="11"/>
  <c r="D38" i="11"/>
  <c r="E38" i="11"/>
  <c r="D37" i="11"/>
  <c r="E37" i="11"/>
  <c r="D36" i="11"/>
  <c r="E36" i="11" s="1"/>
  <c r="D35" i="11"/>
  <c r="D34" i="11"/>
  <c r="D33" i="11"/>
  <c r="D32" i="11"/>
  <c r="D31" i="11"/>
  <c r="D30" i="11"/>
  <c r="D29" i="11"/>
  <c r="D28" i="11"/>
  <c r="E28" i="11" s="1"/>
  <c r="D27" i="11"/>
  <c r="E27" i="11"/>
  <c r="D26" i="11"/>
  <c r="D41" i="11" s="1"/>
  <c r="D43" i="11" s="1"/>
  <c r="E26" i="11"/>
  <c r="D21" i="11"/>
  <c r="D18" i="11"/>
  <c r="E18" i="11" s="1"/>
  <c r="D17" i="11"/>
  <c r="E17" i="11" s="1"/>
  <c r="D16" i="11"/>
  <c r="E16" i="11"/>
  <c r="E15" i="11"/>
  <c r="D15" i="11"/>
  <c r="D14" i="11"/>
  <c r="D13" i="11"/>
  <c r="E13" i="11" s="1"/>
  <c r="D12" i="11"/>
  <c r="D11" i="11"/>
  <c r="D10" i="11"/>
  <c r="D20" i="11" s="1"/>
  <c r="E33" i="10"/>
  <c r="E32" i="10"/>
  <c r="E14" i="10"/>
  <c r="E15" i="10"/>
  <c r="D42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26" i="10"/>
  <c r="D21" i="10"/>
  <c r="D11" i="10"/>
  <c r="D12" i="10"/>
  <c r="D13" i="10"/>
  <c r="D14" i="10"/>
  <c r="D15" i="10"/>
  <c r="D16" i="10"/>
  <c r="D17" i="10"/>
  <c r="D18" i="10"/>
  <c r="D10" i="10"/>
  <c r="C42" i="10"/>
  <c r="C21" i="10"/>
  <c r="C27" i="10"/>
  <c r="E27" i="10" s="1"/>
  <c r="C28" i="10"/>
  <c r="E28" i="10" s="1"/>
  <c r="C29" i="10"/>
  <c r="E29" i="10" s="1"/>
  <c r="C30" i="10"/>
  <c r="E30" i="10" s="1"/>
  <c r="C31" i="10"/>
  <c r="E31" i="10" s="1"/>
  <c r="C32" i="10"/>
  <c r="C33" i="10"/>
  <c r="C34" i="10"/>
  <c r="E34" i="10" s="1"/>
  <c r="C35" i="10"/>
  <c r="E35" i="10" s="1"/>
  <c r="C36" i="10"/>
  <c r="E36" i="10" s="1"/>
  <c r="C37" i="10"/>
  <c r="E37" i="10" s="1"/>
  <c r="C38" i="10"/>
  <c r="E38" i="10" s="1"/>
  <c r="C39" i="10"/>
  <c r="E39" i="10" s="1"/>
  <c r="C40" i="10"/>
  <c r="E40" i="10" s="1"/>
  <c r="C26" i="10"/>
  <c r="E26" i="10" s="1"/>
  <c r="E41" i="10" s="1"/>
  <c r="C18" i="10"/>
  <c r="E18" i="10" s="1"/>
  <c r="C17" i="10"/>
  <c r="E17" i="10" s="1"/>
  <c r="C16" i="10"/>
  <c r="E16" i="10" s="1"/>
  <c r="C15" i="10"/>
  <c r="C13" i="10"/>
  <c r="E13" i="10" s="1"/>
  <c r="C14" i="10"/>
  <c r="C12" i="10"/>
  <c r="E12" i="10" s="1"/>
  <c r="C11" i="10"/>
  <c r="E11" i="10" s="1"/>
  <c r="C10" i="10"/>
  <c r="E10" i="10" s="1"/>
  <c r="E20" i="10" s="1"/>
  <c r="E45" i="10" s="1"/>
  <c r="T58" i="9"/>
  <c r="U58" i="9"/>
  <c r="V58" i="9"/>
  <c r="W58" i="9"/>
  <c r="G29" i="9"/>
  <c r="F29" i="9"/>
  <c r="H29" i="9"/>
  <c r="I29" i="9"/>
  <c r="J29" i="9"/>
  <c r="K29" i="9"/>
  <c r="L29" i="9"/>
  <c r="P29" i="9"/>
  <c r="Q29" i="9"/>
  <c r="R29" i="9"/>
  <c r="V29" i="9"/>
  <c r="Q42" i="9"/>
  <c r="R42" i="9"/>
  <c r="T42" i="9"/>
  <c r="F42" i="9"/>
  <c r="G42" i="9"/>
  <c r="H42" i="9"/>
  <c r="I42" i="9"/>
  <c r="J42" i="9"/>
  <c r="K42" i="9"/>
  <c r="L42" i="9"/>
  <c r="M42" i="9"/>
  <c r="N42" i="9"/>
  <c r="O42" i="9"/>
  <c r="P42" i="9"/>
  <c r="E42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T38" i="9"/>
  <c r="U38" i="9"/>
  <c r="E38" i="9"/>
  <c r="E32" i="11" l="1"/>
  <c r="E41" i="11" s="1"/>
  <c r="E14" i="11"/>
  <c r="C20" i="11"/>
  <c r="E11" i="11"/>
  <c r="D45" i="11"/>
  <c r="D22" i="11"/>
  <c r="C41" i="11"/>
  <c r="E10" i="11"/>
  <c r="E20" i="11" s="1"/>
  <c r="D41" i="10"/>
  <c r="D43" i="10" s="1"/>
  <c r="C41" i="10"/>
  <c r="C43" i="10" s="1"/>
  <c r="D20" i="10"/>
  <c r="C20" i="10"/>
  <c r="C45" i="11" l="1"/>
  <c r="E45" i="11"/>
  <c r="C45" i="10"/>
  <c r="C22" i="10"/>
  <c r="D45" i="10"/>
  <c r="D22" i="10"/>
  <c r="F34" i="9" l="1"/>
  <c r="F45" i="9" s="1"/>
  <c r="F47" i="9" s="1"/>
  <c r="G34" i="9"/>
  <c r="G45" i="9" s="1"/>
  <c r="G47" i="9" s="1"/>
  <c r="H34" i="9"/>
  <c r="H45" i="9" s="1"/>
  <c r="H47" i="9" s="1"/>
  <c r="I34" i="9"/>
  <c r="I45" i="9" s="1"/>
  <c r="I47" i="9" s="1"/>
  <c r="J34" i="9"/>
  <c r="J45" i="9" s="1"/>
  <c r="J47" i="9" s="1"/>
  <c r="K34" i="9"/>
  <c r="K45" i="9" s="1"/>
  <c r="K47" i="9" s="1"/>
  <c r="L34" i="9"/>
  <c r="L45" i="9" s="1"/>
  <c r="L47" i="9" s="1"/>
  <c r="M34" i="9"/>
  <c r="N34" i="9"/>
  <c r="O34" i="9"/>
  <c r="P34" i="9"/>
  <c r="P45" i="9" s="1"/>
  <c r="P47" i="9" s="1"/>
  <c r="Q34" i="9"/>
  <c r="Q45" i="9" s="1"/>
  <c r="Q47" i="9" s="1"/>
  <c r="R34" i="9"/>
  <c r="R45" i="9" s="1"/>
  <c r="R47" i="9" s="1"/>
  <c r="T34" i="9"/>
  <c r="V34" i="9"/>
  <c r="T115" i="9"/>
  <c r="S113" i="9"/>
  <c r="U111" i="9"/>
  <c r="R111" i="9"/>
  <c r="Q111" i="9"/>
  <c r="P111" i="9"/>
  <c r="O111" i="9"/>
  <c r="N111" i="9"/>
  <c r="M111" i="9"/>
  <c r="L111" i="9"/>
  <c r="K111" i="9"/>
  <c r="J111" i="9"/>
  <c r="I111" i="9"/>
  <c r="H111" i="9"/>
  <c r="G111" i="9"/>
  <c r="F111" i="9"/>
  <c r="E111" i="9"/>
  <c r="S110" i="9"/>
  <c r="S109" i="9"/>
  <c r="S108" i="9"/>
  <c r="S107" i="9"/>
  <c r="U106" i="9"/>
  <c r="R106" i="9"/>
  <c r="Q106" i="9"/>
  <c r="P106" i="9"/>
  <c r="O106" i="9"/>
  <c r="N106" i="9"/>
  <c r="M106" i="9"/>
  <c r="L106" i="9"/>
  <c r="K106" i="9"/>
  <c r="J106" i="9"/>
  <c r="I106" i="9"/>
  <c r="H106" i="9"/>
  <c r="G106" i="9"/>
  <c r="F106" i="9"/>
  <c r="E106" i="9"/>
  <c r="S105" i="9"/>
  <c r="S104" i="9"/>
  <c r="S103" i="9"/>
  <c r="S102" i="9"/>
  <c r="U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S100" i="9"/>
  <c r="S99" i="9"/>
  <c r="U98" i="9"/>
  <c r="S98" i="9"/>
  <c r="R97" i="9"/>
  <c r="Q97" i="9"/>
  <c r="P97" i="9"/>
  <c r="O97" i="9"/>
  <c r="N97" i="9"/>
  <c r="L97" i="9"/>
  <c r="K97" i="9"/>
  <c r="J97" i="9"/>
  <c r="I97" i="9"/>
  <c r="H97" i="9"/>
  <c r="G97" i="9"/>
  <c r="F97" i="9"/>
  <c r="E97" i="9"/>
  <c r="S96" i="9"/>
  <c r="M95" i="9"/>
  <c r="S95" i="9" s="1"/>
  <c r="S94" i="9"/>
  <c r="U93" i="9"/>
  <c r="R93" i="9"/>
  <c r="Q93" i="9"/>
  <c r="P93" i="9"/>
  <c r="O93" i="9"/>
  <c r="N93" i="9"/>
  <c r="M93" i="9"/>
  <c r="L93" i="9"/>
  <c r="K93" i="9"/>
  <c r="J93" i="9"/>
  <c r="I93" i="9"/>
  <c r="H93" i="9"/>
  <c r="G93" i="9"/>
  <c r="F93" i="9"/>
  <c r="E93" i="9"/>
  <c r="S92" i="9"/>
  <c r="S91" i="9"/>
  <c r="S90" i="9"/>
  <c r="S89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E87" i="9"/>
  <c r="S87" i="9" s="1"/>
  <c r="S86" i="9"/>
  <c r="E85" i="9"/>
  <c r="E84" i="9"/>
  <c r="S84" i="9" s="1"/>
  <c r="S83" i="9"/>
  <c r="E82" i="9"/>
  <c r="S82" i="9" s="1"/>
  <c r="S81" i="9"/>
  <c r="S80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E79" i="9"/>
  <c r="S78" i="9"/>
  <c r="S77" i="9"/>
  <c r="R76" i="9"/>
  <c r="Q76" i="9"/>
  <c r="P76" i="9"/>
  <c r="O76" i="9"/>
  <c r="N76" i="9"/>
  <c r="M76" i="9"/>
  <c r="L76" i="9"/>
  <c r="K76" i="9"/>
  <c r="J76" i="9"/>
  <c r="I76" i="9"/>
  <c r="H76" i="9"/>
  <c r="G76" i="9"/>
  <c r="F76" i="9"/>
  <c r="E75" i="9"/>
  <c r="E76" i="9" s="1"/>
  <c r="S74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E73" i="9"/>
  <c r="S72" i="9"/>
  <c r="S71" i="9"/>
  <c r="S70" i="9"/>
  <c r="S69" i="9"/>
  <c r="U68" i="9"/>
  <c r="R68" i="9"/>
  <c r="Q68" i="9"/>
  <c r="P68" i="9"/>
  <c r="O68" i="9"/>
  <c r="M68" i="9"/>
  <c r="L68" i="9"/>
  <c r="K68" i="9"/>
  <c r="I68" i="9"/>
  <c r="H68" i="9"/>
  <c r="G68" i="9"/>
  <c r="F68" i="9"/>
  <c r="N67" i="9"/>
  <c r="N68" i="9" s="1"/>
  <c r="J67" i="9"/>
  <c r="J68" i="9" s="1"/>
  <c r="E67" i="9"/>
  <c r="E66" i="9"/>
  <c r="S65" i="9"/>
  <c r="U64" i="9"/>
  <c r="R64" i="9"/>
  <c r="Q64" i="9"/>
  <c r="P64" i="9"/>
  <c r="O64" i="9"/>
  <c r="N64" i="9"/>
  <c r="M64" i="9"/>
  <c r="L64" i="9"/>
  <c r="K64" i="9"/>
  <c r="J64" i="9"/>
  <c r="I64" i="9"/>
  <c r="H64" i="9"/>
  <c r="G64" i="9"/>
  <c r="S63" i="9"/>
  <c r="E62" i="9"/>
  <c r="E64" i="9" s="1"/>
  <c r="F61" i="9"/>
  <c r="F64" i="9" s="1"/>
  <c r="S60" i="9"/>
  <c r="S59" i="9"/>
  <c r="S57" i="9"/>
  <c r="S56" i="9"/>
  <c r="R51" i="9"/>
  <c r="Q51" i="9"/>
  <c r="P51" i="9"/>
  <c r="O51" i="9"/>
  <c r="N51" i="9"/>
  <c r="M51" i="9"/>
  <c r="L51" i="9"/>
  <c r="K51" i="9"/>
  <c r="H51" i="9"/>
  <c r="E51" i="9"/>
  <c r="S50" i="9"/>
  <c r="U41" i="9"/>
  <c r="U42" i="9" s="1"/>
  <c r="S41" i="9"/>
  <c r="W41" i="9" s="1"/>
  <c r="S40" i="9"/>
  <c r="S42" i="9" s="1"/>
  <c r="T39" i="9"/>
  <c r="S39" i="9"/>
  <c r="W39" i="9" s="1"/>
  <c r="S37" i="9"/>
  <c r="W37" i="9" s="1"/>
  <c r="S36" i="9"/>
  <c r="S33" i="9"/>
  <c r="U32" i="9"/>
  <c r="E32" i="9"/>
  <c r="S32" i="9" s="1"/>
  <c r="U31" i="9"/>
  <c r="S31" i="9"/>
  <c r="W31" i="9" s="1"/>
  <c r="E29" i="9"/>
  <c r="T28" i="9"/>
  <c r="O28" i="9"/>
  <c r="O29" i="9" s="1"/>
  <c r="N28" i="9"/>
  <c r="N29" i="9" s="1"/>
  <c r="M28" i="9"/>
  <c r="M29" i="9" s="1"/>
  <c r="S27" i="9"/>
  <c r="W27" i="9" s="1"/>
  <c r="J18" i="9"/>
  <c r="J51" i="9" s="1"/>
  <c r="I18" i="9"/>
  <c r="I51" i="9" s="1"/>
  <c r="G18" i="9"/>
  <c r="F18" i="9"/>
  <c r="F51" i="9" s="1"/>
  <c r="D16" i="9"/>
  <c r="N16" i="9" s="1"/>
  <c r="Q15" i="9"/>
  <c r="M15" i="9"/>
  <c r="M17" i="9" s="1"/>
  <c r="M19" i="9" s="1"/>
  <c r="M22" i="9" s="1"/>
  <c r="K15" i="9"/>
  <c r="J15" i="9"/>
  <c r="Q14" i="9"/>
  <c r="J14" i="9"/>
  <c r="I14" i="9"/>
  <c r="F14" i="9"/>
  <c r="J13" i="9"/>
  <c r="E13" i="9"/>
  <c r="O12" i="9"/>
  <c r="I12" i="9"/>
  <c r="R11" i="9"/>
  <c r="Q11" i="9"/>
  <c r="P11" i="9"/>
  <c r="P17" i="9" s="1"/>
  <c r="P52" i="9" s="1"/>
  <c r="P55" i="9" s="1"/>
  <c r="O11" i="9"/>
  <c r="K11" i="9"/>
  <c r="J11" i="9"/>
  <c r="H11" i="9"/>
  <c r="H17" i="9" s="1"/>
  <c r="H52" i="9" s="1"/>
  <c r="H55" i="9" s="1"/>
  <c r="D10" i="9"/>
  <c r="G10" i="9" s="1"/>
  <c r="L9" i="9"/>
  <c r="I9" i="9"/>
  <c r="G9" i="9"/>
  <c r="R8" i="9"/>
  <c r="Q8" i="9"/>
  <c r="O8" i="9"/>
  <c r="J8" i="9"/>
  <c r="I8" i="9"/>
  <c r="E8" i="9"/>
  <c r="L81" i="8"/>
  <c r="H14" i="8"/>
  <c r="H37" i="8" s="1"/>
  <c r="F14" i="8"/>
  <c r="F37" i="8" s="1"/>
  <c r="M12" i="8"/>
  <c r="M13" i="8" s="1"/>
  <c r="C12" i="8"/>
  <c r="N8" i="8"/>
  <c r="H8" i="8"/>
  <c r="H13" i="8" s="1"/>
  <c r="H17" i="8" s="1"/>
  <c r="H40" i="8" s="1"/>
  <c r="D61" i="8"/>
  <c r="D62" i="8" s="1"/>
  <c r="N22" i="8"/>
  <c r="N23" i="8" s="1"/>
  <c r="N33" i="8" s="1"/>
  <c r="L22" i="8"/>
  <c r="L23" i="8" s="1"/>
  <c r="S100" i="8"/>
  <c r="R99" i="8"/>
  <c r="T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R96" i="8"/>
  <c r="R95" i="8"/>
  <c r="R94" i="8"/>
  <c r="R93" i="8"/>
  <c r="T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R91" i="8"/>
  <c r="R90" i="8"/>
  <c r="R89" i="8"/>
  <c r="R88" i="8"/>
  <c r="T87" i="8"/>
  <c r="Q87" i="8"/>
  <c r="P87" i="8"/>
  <c r="O87" i="8"/>
  <c r="N87" i="8"/>
  <c r="M87" i="8"/>
  <c r="L87" i="8"/>
  <c r="K87" i="8"/>
  <c r="J87" i="8"/>
  <c r="I87" i="8"/>
  <c r="H87" i="8"/>
  <c r="G87" i="8"/>
  <c r="R87" i="8" s="1"/>
  <c r="V87" i="8" s="1"/>
  <c r="F87" i="8"/>
  <c r="E87" i="8"/>
  <c r="D87" i="8"/>
  <c r="R86" i="8"/>
  <c r="R85" i="8"/>
  <c r="T84" i="8"/>
  <c r="R84" i="8"/>
  <c r="Q83" i="8"/>
  <c r="P83" i="8"/>
  <c r="O83" i="8"/>
  <c r="N83" i="8"/>
  <c r="M83" i="8"/>
  <c r="K83" i="8"/>
  <c r="J83" i="8"/>
  <c r="I83" i="8"/>
  <c r="H83" i="8"/>
  <c r="G83" i="8"/>
  <c r="F83" i="8"/>
  <c r="E83" i="8"/>
  <c r="D83" i="8"/>
  <c r="R82" i="8"/>
  <c r="R80" i="8"/>
  <c r="T79" i="8"/>
  <c r="R79" i="8"/>
  <c r="V79" i="8" s="1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R78" i="8"/>
  <c r="R77" i="8"/>
  <c r="R76" i="8"/>
  <c r="R75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3" i="8"/>
  <c r="R73" i="8" s="1"/>
  <c r="R72" i="8"/>
  <c r="D71" i="8"/>
  <c r="R71" i="8" s="1"/>
  <c r="D70" i="8"/>
  <c r="R70" i="8" s="1"/>
  <c r="R69" i="8"/>
  <c r="D68" i="8"/>
  <c r="R67" i="8"/>
  <c r="R66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R64" i="8"/>
  <c r="R63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R60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R58" i="8"/>
  <c r="R57" i="8"/>
  <c r="R56" i="8"/>
  <c r="R55" i="8"/>
  <c r="T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R54" i="8" s="1"/>
  <c r="V54" i="8" s="1"/>
  <c r="M53" i="8"/>
  <c r="I53" i="8"/>
  <c r="R53" i="8" s="1"/>
  <c r="D53" i="8"/>
  <c r="D52" i="8"/>
  <c r="R52" i="8" s="1"/>
  <c r="R51" i="8"/>
  <c r="T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R50" i="8" s="1"/>
  <c r="V50" i="8" s="1"/>
  <c r="R49" i="8"/>
  <c r="D48" i="8"/>
  <c r="R48" i="8" s="1"/>
  <c r="E47" i="8"/>
  <c r="R47" i="8" s="1"/>
  <c r="R46" i="8"/>
  <c r="R45" i="8"/>
  <c r="T44" i="8"/>
  <c r="T100" i="8" s="1"/>
  <c r="R43" i="8"/>
  <c r="R42" i="8"/>
  <c r="L38" i="8"/>
  <c r="L41" i="8" s="1"/>
  <c r="Q37" i="8"/>
  <c r="P37" i="8"/>
  <c r="O37" i="8"/>
  <c r="N37" i="8"/>
  <c r="M37" i="8"/>
  <c r="L37" i="8"/>
  <c r="K37" i="8"/>
  <c r="J37" i="8"/>
  <c r="I37" i="8"/>
  <c r="G37" i="8"/>
  <c r="E37" i="8"/>
  <c r="D37" i="8"/>
  <c r="R36" i="8"/>
  <c r="R35" i="8"/>
  <c r="M33" i="8"/>
  <c r="K33" i="8"/>
  <c r="J33" i="8"/>
  <c r="I33" i="8"/>
  <c r="H33" i="8"/>
  <c r="G33" i="8"/>
  <c r="F33" i="8"/>
  <c r="E33" i="8"/>
  <c r="T32" i="8"/>
  <c r="R32" i="8"/>
  <c r="V32" i="8" s="1"/>
  <c r="R31" i="8"/>
  <c r="S30" i="8"/>
  <c r="R30" i="8"/>
  <c r="V30" i="8" s="1"/>
  <c r="R29" i="8"/>
  <c r="V29" i="8" s="1"/>
  <c r="R28" i="8"/>
  <c r="V28" i="8" s="1"/>
  <c r="S27" i="8"/>
  <c r="R27" i="8"/>
  <c r="V27" i="8" s="1"/>
  <c r="R26" i="8"/>
  <c r="T25" i="8"/>
  <c r="T27" i="8" s="1"/>
  <c r="D25" i="8"/>
  <c r="R25" i="8" s="1"/>
  <c r="T24" i="8"/>
  <c r="R24" i="8"/>
  <c r="V24" i="8" s="1"/>
  <c r="Q23" i="8"/>
  <c r="Q33" i="8" s="1"/>
  <c r="P23" i="8"/>
  <c r="P33" i="8" s="1"/>
  <c r="O23" i="8"/>
  <c r="O33" i="8" s="1"/>
  <c r="O98" i="8" s="1"/>
  <c r="M23" i="8"/>
  <c r="K23" i="8"/>
  <c r="J23" i="8"/>
  <c r="I23" i="8"/>
  <c r="H23" i="8"/>
  <c r="G23" i="8"/>
  <c r="F23" i="8"/>
  <c r="D23" i="8"/>
  <c r="S22" i="8"/>
  <c r="S23" i="8" s="1"/>
  <c r="M22" i="8"/>
  <c r="R21" i="8"/>
  <c r="V21" i="8" s="1"/>
  <c r="I14" i="8"/>
  <c r="E14" i="8"/>
  <c r="L13" i="8"/>
  <c r="L17" i="8" s="1"/>
  <c r="L40" i="8" s="1"/>
  <c r="E13" i="8"/>
  <c r="P11" i="8"/>
  <c r="L11" i="8"/>
  <c r="J11" i="8"/>
  <c r="I11" i="8"/>
  <c r="P10" i="8"/>
  <c r="I10" i="8"/>
  <c r="H10" i="8"/>
  <c r="E10" i="8"/>
  <c r="R10" i="8" s="1"/>
  <c r="I9" i="8"/>
  <c r="D9" i="8"/>
  <c r="R9" i="8" s="1"/>
  <c r="R8" i="8"/>
  <c r="Q7" i="8"/>
  <c r="P7" i="8"/>
  <c r="O7" i="8"/>
  <c r="O13" i="8" s="1"/>
  <c r="N7" i="8"/>
  <c r="J7" i="8"/>
  <c r="J13" i="8" s="1"/>
  <c r="J17" i="8" s="1"/>
  <c r="J40" i="8" s="1"/>
  <c r="I7" i="8"/>
  <c r="I13" i="8" s="1"/>
  <c r="I17" i="8" s="1"/>
  <c r="I40" i="8" s="1"/>
  <c r="G7" i="8"/>
  <c r="G13" i="8" s="1"/>
  <c r="G17" i="8" s="1"/>
  <c r="G40" i="8" s="1"/>
  <c r="C6" i="8"/>
  <c r="C13" i="8" s="1"/>
  <c r="C17" i="8" s="1"/>
  <c r="K5" i="8"/>
  <c r="H5" i="8"/>
  <c r="F5" i="8"/>
  <c r="Q4" i="8"/>
  <c r="P4" i="8"/>
  <c r="N4" i="8"/>
  <c r="I4" i="8"/>
  <c r="H4" i="8"/>
  <c r="D4" i="8"/>
  <c r="R98" i="1"/>
  <c r="R96" i="1"/>
  <c r="R95" i="1"/>
  <c r="R94" i="1"/>
  <c r="R93" i="1"/>
  <c r="R91" i="1"/>
  <c r="R90" i="1"/>
  <c r="R89" i="1"/>
  <c r="R88" i="1"/>
  <c r="R86" i="1"/>
  <c r="R85" i="1"/>
  <c r="R84" i="1"/>
  <c r="R82" i="1"/>
  <c r="R80" i="1"/>
  <c r="R78" i="1"/>
  <c r="R77" i="1"/>
  <c r="R76" i="1"/>
  <c r="R75" i="1"/>
  <c r="R72" i="1"/>
  <c r="R69" i="1"/>
  <c r="R67" i="1"/>
  <c r="R66" i="1"/>
  <c r="R64" i="1"/>
  <c r="R63" i="1"/>
  <c r="R60" i="1"/>
  <c r="R58" i="1"/>
  <c r="R56" i="1"/>
  <c r="R55" i="1"/>
  <c r="R51" i="1"/>
  <c r="R49" i="1"/>
  <c r="R46" i="1"/>
  <c r="R45" i="1"/>
  <c r="R43" i="1"/>
  <c r="R42" i="1"/>
  <c r="R36" i="1"/>
  <c r="R35" i="1"/>
  <c r="R32" i="1"/>
  <c r="R31" i="1"/>
  <c r="R30" i="1"/>
  <c r="R29" i="1"/>
  <c r="R28" i="1"/>
  <c r="R27" i="1"/>
  <c r="R26" i="1"/>
  <c r="R24" i="1"/>
  <c r="R21" i="1"/>
  <c r="Q54" i="1"/>
  <c r="P54" i="1"/>
  <c r="O54" i="1"/>
  <c r="N54" i="1"/>
  <c r="L54" i="1"/>
  <c r="K54" i="1"/>
  <c r="J54" i="1"/>
  <c r="H54" i="1"/>
  <c r="G54" i="1"/>
  <c r="F54" i="1"/>
  <c r="E54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25" i="1"/>
  <c r="R25" i="1" s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Q83" i="1"/>
  <c r="P83" i="1"/>
  <c r="O83" i="1"/>
  <c r="N83" i="1"/>
  <c r="M83" i="1"/>
  <c r="K83" i="1"/>
  <c r="J83" i="1"/>
  <c r="I83" i="1"/>
  <c r="H83" i="1"/>
  <c r="G83" i="1"/>
  <c r="F83" i="1"/>
  <c r="E83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Q59" i="1"/>
  <c r="O59" i="1"/>
  <c r="N59" i="1"/>
  <c r="M59" i="1"/>
  <c r="L59" i="1"/>
  <c r="K59" i="1"/>
  <c r="J59" i="1"/>
  <c r="I59" i="1"/>
  <c r="H59" i="1"/>
  <c r="G59" i="1"/>
  <c r="F59" i="1"/>
  <c r="E59" i="1"/>
  <c r="Q50" i="1"/>
  <c r="P50" i="1"/>
  <c r="O50" i="1"/>
  <c r="N50" i="1"/>
  <c r="M50" i="1"/>
  <c r="L50" i="1"/>
  <c r="K50" i="1"/>
  <c r="J50" i="1"/>
  <c r="I50" i="1"/>
  <c r="H50" i="1"/>
  <c r="G50" i="1"/>
  <c r="F50" i="1"/>
  <c r="D4" i="3"/>
  <c r="E8" i="3"/>
  <c r="M45" i="9" l="1"/>
  <c r="M47" i="9" s="1"/>
  <c r="W36" i="9"/>
  <c r="S38" i="9"/>
  <c r="N45" i="9"/>
  <c r="N47" i="9" s="1"/>
  <c r="O45" i="9"/>
  <c r="U28" i="9"/>
  <c r="U29" i="9" s="1"/>
  <c r="T29" i="9"/>
  <c r="T45" i="9" s="1"/>
  <c r="T47" i="9" s="1"/>
  <c r="U34" i="9"/>
  <c r="S34" i="9"/>
  <c r="E34" i="9"/>
  <c r="E45" i="9" s="1"/>
  <c r="E47" i="9" s="1"/>
  <c r="I112" i="9"/>
  <c r="P112" i="9"/>
  <c r="S28" i="9"/>
  <c r="S14" i="9"/>
  <c r="M97" i="9"/>
  <c r="S97" i="9" s="1"/>
  <c r="W97" i="9" s="1"/>
  <c r="O17" i="9"/>
  <c r="O19" i="9" s="1"/>
  <c r="O22" i="9" s="1"/>
  <c r="O53" i="9" s="1"/>
  <c r="S9" i="9"/>
  <c r="R17" i="9"/>
  <c r="R52" i="9" s="1"/>
  <c r="R55" i="9" s="1"/>
  <c r="E17" i="9"/>
  <c r="E21" i="9" s="1"/>
  <c r="E54" i="9" s="1"/>
  <c r="S67" i="9"/>
  <c r="M53" i="9"/>
  <c r="S16" i="9"/>
  <c r="N17" i="9"/>
  <c r="N21" i="9" s="1"/>
  <c r="N54" i="9" s="1"/>
  <c r="D18" i="9"/>
  <c r="S61" i="9"/>
  <c r="S106" i="9"/>
  <c r="W106" i="9" s="1"/>
  <c r="S12" i="9"/>
  <c r="S101" i="9"/>
  <c r="W101" i="9" s="1"/>
  <c r="S76" i="9"/>
  <c r="W76" i="9" s="1"/>
  <c r="I17" i="9"/>
  <c r="I19" i="9" s="1"/>
  <c r="I22" i="9" s="1"/>
  <c r="I53" i="9" s="1"/>
  <c r="E88" i="9"/>
  <c r="S88" i="9" s="1"/>
  <c r="W88" i="9" s="1"/>
  <c r="K17" i="9"/>
  <c r="K52" i="9" s="1"/>
  <c r="T118" i="9"/>
  <c r="T119" i="9" s="1"/>
  <c r="D17" i="9"/>
  <c r="D21" i="9" s="1"/>
  <c r="L10" i="9"/>
  <c r="S10" i="9" s="1"/>
  <c r="S13" i="9"/>
  <c r="M21" i="9"/>
  <c r="M54" i="9" s="1"/>
  <c r="F17" i="9"/>
  <c r="F52" i="9" s="1"/>
  <c r="F55" i="9" s="1"/>
  <c r="S11" i="9"/>
  <c r="G17" i="9"/>
  <c r="G19" i="9" s="1"/>
  <c r="G22" i="9" s="1"/>
  <c r="Q17" i="9"/>
  <c r="Q21" i="9" s="1"/>
  <c r="Q54" i="9" s="1"/>
  <c r="S15" i="9"/>
  <c r="U115" i="9"/>
  <c r="R19" i="9"/>
  <c r="R22" i="9" s="1"/>
  <c r="S66" i="9"/>
  <c r="E68" i="9"/>
  <c r="S68" i="9" s="1"/>
  <c r="W68" i="9" s="1"/>
  <c r="S93" i="9"/>
  <c r="W93" i="9" s="1"/>
  <c r="H21" i="9"/>
  <c r="H54" i="9" s="1"/>
  <c r="G51" i="9"/>
  <c r="S85" i="9"/>
  <c r="H19" i="9"/>
  <c r="H22" i="9" s="1"/>
  <c r="L112" i="9"/>
  <c r="S64" i="9"/>
  <c r="W64" i="9" s="1"/>
  <c r="S79" i="9"/>
  <c r="W79" i="9" s="1"/>
  <c r="P21" i="9"/>
  <c r="P54" i="9" s="1"/>
  <c r="S62" i="9"/>
  <c r="J17" i="9"/>
  <c r="M52" i="9"/>
  <c r="S8" i="9"/>
  <c r="P19" i="9"/>
  <c r="P22" i="9" s="1"/>
  <c r="S73" i="9"/>
  <c r="W73" i="9" s="1"/>
  <c r="S111" i="9"/>
  <c r="W111" i="9" s="1"/>
  <c r="S75" i="9"/>
  <c r="S18" i="9"/>
  <c r="C14" i="8"/>
  <c r="C15" i="8" s="1"/>
  <c r="C18" i="8" s="1"/>
  <c r="C19" i="8" s="1"/>
  <c r="M17" i="8"/>
  <c r="M40" i="8" s="1"/>
  <c r="M38" i="8"/>
  <c r="M41" i="8" s="1"/>
  <c r="R12" i="8"/>
  <c r="O17" i="8"/>
  <c r="O40" i="8" s="1"/>
  <c r="O15" i="8"/>
  <c r="O18" i="8" s="1"/>
  <c r="O39" i="8" s="1"/>
  <c r="O38" i="8"/>
  <c r="R7" i="8"/>
  <c r="L15" i="8"/>
  <c r="L18" i="8" s="1"/>
  <c r="F6" i="8"/>
  <c r="F13" i="8" s="1"/>
  <c r="F17" i="8" s="1"/>
  <c r="F40" i="8" s="1"/>
  <c r="K6" i="8"/>
  <c r="K13" i="8" s="1"/>
  <c r="K17" i="8" s="1"/>
  <c r="K40" i="8" s="1"/>
  <c r="D13" i="8"/>
  <c r="D15" i="8" s="1"/>
  <c r="D18" i="8" s="1"/>
  <c r="D39" i="8" s="1"/>
  <c r="M15" i="8"/>
  <c r="M18" i="8" s="1"/>
  <c r="N13" i="8"/>
  <c r="N15" i="8" s="1"/>
  <c r="N18" i="8" s="1"/>
  <c r="R5" i="8"/>
  <c r="R97" i="8"/>
  <c r="V97" i="8" s="1"/>
  <c r="R92" i="8"/>
  <c r="V92" i="8" s="1"/>
  <c r="R61" i="8"/>
  <c r="R62" i="8"/>
  <c r="V62" i="8" s="1"/>
  <c r="L33" i="8"/>
  <c r="R22" i="8"/>
  <c r="V22" i="8" s="1"/>
  <c r="E38" i="8"/>
  <c r="E41" i="8" s="1"/>
  <c r="E17" i="8"/>
  <c r="E40" i="8" s="1"/>
  <c r="L44" i="8"/>
  <c r="R37" i="8"/>
  <c r="O41" i="8"/>
  <c r="O44" i="8"/>
  <c r="O100" i="8" s="1"/>
  <c r="O101" i="8" s="1"/>
  <c r="O102" i="8" s="1"/>
  <c r="R65" i="8"/>
  <c r="V65" i="8" s="1"/>
  <c r="R68" i="8"/>
  <c r="D74" i="8"/>
  <c r="R74" i="8" s="1"/>
  <c r="V74" i="8" s="1"/>
  <c r="H98" i="8"/>
  <c r="F15" i="8"/>
  <c r="F18" i="8" s="1"/>
  <c r="O19" i="8"/>
  <c r="K98" i="8"/>
  <c r="G15" i="8"/>
  <c r="G18" i="8" s="1"/>
  <c r="P13" i="8"/>
  <c r="H15" i="8"/>
  <c r="H18" i="8" s="1"/>
  <c r="M98" i="8"/>
  <c r="Q13" i="8"/>
  <c r="I15" i="8"/>
  <c r="I18" i="8" s="1"/>
  <c r="N98" i="8"/>
  <c r="F38" i="8"/>
  <c r="F41" i="8" s="1"/>
  <c r="J15" i="8"/>
  <c r="J18" i="8" s="1"/>
  <c r="G38" i="8"/>
  <c r="G41" i="8" s="1"/>
  <c r="H38" i="8"/>
  <c r="H41" i="8" s="1"/>
  <c r="L19" i="8"/>
  <c r="L39" i="8"/>
  <c r="I38" i="8"/>
  <c r="T22" i="8"/>
  <c r="T23" i="8" s="1"/>
  <c r="T33" i="8" s="1"/>
  <c r="T101" i="8" s="1"/>
  <c r="T102" i="8" s="1"/>
  <c r="J38" i="8"/>
  <c r="R6" i="8"/>
  <c r="S33" i="8"/>
  <c r="S101" i="8" s="1"/>
  <c r="S102" i="8" s="1"/>
  <c r="K38" i="8"/>
  <c r="D33" i="8"/>
  <c r="R23" i="8"/>
  <c r="V23" i="8" s="1"/>
  <c r="D17" i="8"/>
  <c r="D40" i="8" s="1"/>
  <c r="R4" i="8"/>
  <c r="R13" i="8" s="1"/>
  <c r="R17" i="8" s="1"/>
  <c r="E15" i="8"/>
  <c r="E18" i="8" s="1"/>
  <c r="R14" i="8"/>
  <c r="D38" i="8"/>
  <c r="R59" i="8"/>
  <c r="V59" i="8" s="1"/>
  <c r="R11" i="8"/>
  <c r="O112" i="9" l="1"/>
  <c r="O47" i="9"/>
  <c r="N112" i="9"/>
  <c r="M115" i="9"/>
  <c r="M116" i="9" s="1"/>
  <c r="S51" i="9"/>
  <c r="U45" i="9"/>
  <c r="F19" i="9"/>
  <c r="F22" i="9" s="1"/>
  <c r="F53" i="9" s="1"/>
  <c r="W28" i="9"/>
  <c r="W29" i="9" s="1"/>
  <c r="S29" i="9"/>
  <c r="S45" i="9" s="1"/>
  <c r="O21" i="9"/>
  <c r="O54" i="9" s="1"/>
  <c r="R21" i="9"/>
  <c r="R54" i="9" s="1"/>
  <c r="O52" i="9"/>
  <c r="E52" i="9"/>
  <c r="F21" i="9"/>
  <c r="F54" i="9" s="1"/>
  <c r="I21" i="9"/>
  <c r="I54" i="9" s="1"/>
  <c r="I52" i="9"/>
  <c r="K19" i="9"/>
  <c r="K22" i="9" s="1"/>
  <c r="K53" i="9" s="1"/>
  <c r="E19" i="9"/>
  <c r="E22" i="9" s="1"/>
  <c r="E53" i="9" s="1"/>
  <c r="N52" i="9"/>
  <c r="L17" i="9"/>
  <c r="L52" i="9" s="1"/>
  <c r="Q19" i="9"/>
  <c r="Q22" i="9" s="1"/>
  <c r="Q23" i="9" s="1"/>
  <c r="G21" i="9"/>
  <c r="G54" i="9" s="1"/>
  <c r="Q52" i="9"/>
  <c r="S17" i="9"/>
  <c r="S21" i="9" s="1"/>
  <c r="D19" i="9"/>
  <c r="D22" i="9" s="1"/>
  <c r="D23" i="9" s="1"/>
  <c r="N19" i="9"/>
  <c r="N22" i="9" s="1"/>
  <c r="N53" i="9" s="1"/>
  <c r="K21" i="9"/>
  <c r="K54" i="9" s="1"/>
  <c r="G52" i="9"/>
  <c r="G55" i="9" s="1"/>
  <c r="M23" i="9"/>
  <c r="R53" i="9"/>
  <c r="J52" i="9"/>
  <c r="J21" i="9"/>
  <c r="J54" i="9" s="1"/>
  <c r="J19" i="9"/>
  <c r="J22" i="9" s="1"/>
  <c r="P53" i="9"/>
  <c r="P23" i="9"/>
  <c r="M55" i="9"/>
  <c r="M58" i="9" s="1"/>
  <c r="K55" i="9"/>
  <c r="H53" i="9"/>
  <c r="H23" i="9"/>
  <c r="G53" i="9"/>
  <c r="M19" i="8"/>
  <c r="K15" i="8"/>
  <c r="K18" i="8" s="1"/>
  <c r="N17" i="8"/>
  <c r="N40" i="8" s="1"/>
  <c r="N38" i="8"/>
  <c r="N41" i="8" s="1"/>
  <c r="M39" i="8"/>
  <c r="M44" i="8" s="1"/>
  <c r="M100" i="8" s="1"/>
  <c r="M101" i="8" s="1"/>
  <c r="M102" i="8" s="1"/>
  <c r="R81" i="8"/>
  <c r="L83" i="8"/>
  <c r="R83" i="8" s="1"/>
  <c r="V83" i="8" s="1"/>
  <c r="J19" i="8"/>
  <c r="J39" i="8"/>
  <c r="F39" i="8"/>
  <c r="F19" i="8"/>
  <c r="R33" i="8"/>
  <c r="K41" i="8"/>
  <c r="I19" i="8"/>
  <c r="I39" i="8"/>
  <c r="I44" i="8" s="1"/>
  <c r="I100" i="8" s="1"/>
  <c r="I101" i="8" s="1"/>
  <c r="I102" i="8" s="1"/>
  <c r="Q38" i="8"/>
  <c r="Q17" i="8"/>
  <c r="Q40" i="8" s="1"/>
  <c r="R40" i="8" s="1"/>
  <c r="Q15" i="8"/>
  <c r="Q18" i="8" s="1"/>
  <c r="D44" i="8"/>
  <c r="N39" i="8"/>
  <c r="N44" i="8" s="1"/>
  <c r="N100" i="8" s="1"/>
  <c r="N101" i="8" s="1"/>
  <c r="N102" i="8" s="1"/>
  <c r="N19" i="8"/>
  <c r="J41" i="8"/>
  <c r="J44" i="8"/>
  <c r="J100" i="8" s="1"/>
  <c r="J101" i="8" s="1"/>
  <c r="J102" i="8" s="1"/>
  <c r="H19" i="8"/>
  <c r="H39" i="8"/>
  <c r="H44" i="8" s="1"/>
  <c r="H100" i="8" s="1"/>
  <c r="H101" i="8" s="1"/>
  <c r="H102" i="8" s="1"/>
  <c r="P17" i="8"/>
  <c r="P40" i="8" s="1"/>
  <c r="P38" i="8"/>
  <c r="P15" i="8"/>
  <c r="P18" i="8" s="1"/>
  <c r="I41" i="8"/>
  <c r="G39" i="8"/>
  <c r="G44" i="8" s="1"/>
  <c r="G100" i="8" s="1"/>
  <c r="G101" i="8" s="1"/>
  <c r="G19" i="8"/>
  <c r="F44" i="8"/>
  <c r="F100" i="8" s="1"/>
  <c r="F101" i="8" s="1"/>
  <c r="D41" i="8"/>
  <c r="R15" i="8"/>
  <c r="R18" i="8" s="1"/>
  <c r="R19" i="8" s="1"/>
  <c r="E39" i="8"/>
  <c r="E19" i="8"/>
  <c r="K19" i="8"/>
  <c r="K39" i="8"/>
  <c r="K44" i="8" s="1"/>
  <c r="K100" i="8" s="1"/>
  <c r="K101" i="8" s="1"/>
  <c r="K102" i="8" s="1"/>
  <c r="D19" i="8"/>
  <c r="N22" i="1"/>
  <c r="O7" i="1"/>
  <c r="G7" i="1"/>
  <c r="I11" i="1"/>
  <c r="J11" i="1"/>
  <c r="P11" i="1"/>
  <c r="D4" i="1"/>
  <c r="V21" i="1"/>
  <c r="E29" i="3"/>
  <c r="E22" i="3"/>
  <c r="E15" i="3"/>
  <c r="D29" i="3"/>
  <c r="D15" i="3"/>
  <c r="D5" i="3"/>
  <c r="I7" i="1"/>
  <c r="I14" i="1"/>
  <c r="E14" i="1"/>
  <c r="I4" i="1"/>
  <c r="I53" i="1"/>
  <c r="I54" i="1" s="1"/>
  <c r="E10" i="1"/>
  <c r="J7" i="1"/>
  <c r="F5" i="1"/>
  <c r="U118" i="9" l="1"/>
  <c r="U119" i="9" s="1"/>
  <c r="U47" i="9"/>
  <c r="M46" i="9"/>
  <c r="S47" i="9"/>
  <c r="M118" i="9"/>
  <c r="M119" i="9" s="1"/>
  <c r="F58" i="9"/>
  <c r="K58" i="9"/>
  <c r="K115" i="9" s="1"/>
  <c r="K116" i="9" s="1"/>
  <c r="Q55" i="9"/>
  <c r="P58" i="9"/>
  <c r="L55" i="9"/>
  <c r="N55" i="9"/>
  <c r="N58" i="9"/>
  <c r="H58" i="9"/>
  <c r="E55" i="9"/>
  <c r="E58" i="9" s="1"/>
  <c r="E115" i="9" s="1"/>
  <c r="E116" i="9" s="1"/>
  <c r="R58" i="9"/>
  <c r="O55" i="9"/>
  <c r="O58" i="9"/>
  <c r="O115" i="9" s="1"/>
  <c r="O116" i="9" s="1"/>
  <c r="I55" i="9"/>
  <c r="I58" i="9" s="1"/>
  <c r="G58" i="9"/>
  <c r="R23" i="9"/>
  <c r="O23" i="9"/>
  <c r="L19" i="9"/>
  <c r="L22" i="9" s="1"/>
  <c r="L53" i="9" s="1"/>
  <c r="E23" i="9"/>
  <c r="F23" i="9"/>
  <c r="I23" i="9"/>
  <c r="G23" i="9"/>
  <c r="Q53" i="9"/>
  <c r="L21" i="9"/>
  <c r="L54" i="9" s="1"/>
  <c r="S54" i="9" s="1"/>
  <c r="S19" i="9"/>
  <c r="S22" i="9" s="1"/>
  <c r="S23" i="9" s="1"/>
  <c r="K23" i="9"/>
  <c r="K118" i="9"/>
  <c r="K119" i="9" s="1"/>
  <c r="N23" i="9"/>
  <c r="J23" i="9"/>
  <c r="J53" i="9"/>
  <c r="J55" i="9"/>
  <c r="W45" i="9"/>
  <c r="L46" i="9"/>
  <c r="R46" i="9"/>
  <c r="N46" i="9"/>
  <c r="G46" i="9"/>
  <c r="E46" i="9"/>
  <c r="H46" i="9"/>
  <c r="F46" i="9"/>
  <c r="I46" i="9"/>
  <c r="P46" i="9"/>
  <c r="Q46" i="9"/>
  <c r="O46" i="9"/>
  <c r="J46" i="9"/>
  <c r="K46" i="9"/>
  <c r="S52" i="9"/>
  <c r="L100" i="8"/>
  <c r="L101" i="8" s="1"/>
  <c r="L102" i="8" s="1"/>
  <c r="Q39" i="8"/>
  <c r="Q19" i="8"/>
  <c r="E44" i="8"/>
  <c r="E100" i="8" s="1"/>
  <c r="E101" i="8" s="1"/>
  <c r="Q41" i="8"/>
  <c r="Q44" i="8"/>
  <c r="D100" i="8"/>
  <c r="R41" i="8"/>
  <c r="R38" i="8"/>
  <c r="E34" i="8"/>
  <c r="V33" i="8"/>
  <c r="P34" i="8"/>
  <c r="O34" i="8"/>
  <c r="K34" i="8"/>
  <c r="F34" i="8"/>
  <c r="L34" i="8"/>
  <c r="G34" i="8"/>
  <c r="M34" i="8"/>
  <c r="H34" i="8"/>
  <c r="I34" i="8"/>
  <c r="Q34" i="8"/>
  <c r="N34" i="8"/>
  <c r="J34" i="8"/>
  <c r="D34" i="8"/>
  <c r="P39" i="8"/>
  <c r="R39" i="8" s="1"/>
  <c r="P19" i="8"/>
  <c r="P41" i="8"/>
  <c r="P44" i="8"/>
  <c r="P100" i="8" s="1"/>
  <c r="P101" i="8" s="1"/>
  <c r="P102" i="8" s="1"/>
  <c r="E32" i="3"/>
  <c r="E4" i="3"/>
  <c r="E5" i="3" s="1"/>
  <c r="T97" i="1"/>
  <c r="T92" i="1"/>
  <c r="T87" i="1"/>
  <c r="T84" i="1"/>
  <c r="T79" i="1"/>
  <c r="T54" i="1"/>
  <c r="T50" i="1"/>
  <c r="T44" i="1"/>
  <c r="T32" i="1"/>
  <c r="T25" i="1"/>
  <c r="T24" i="1"/>
  <c r="S22" i="1"/>
  <c r="S23" i="1" s="1"/>
  <c r="S27" i="1"/>
  <c r="S30" i="1"/>
  <c r="D48" i="1"/>
  <c r="R48" i="1" s="1"/>
  <c r="Q4" i="1"/>
  <c r="P10" i="1"/>
  <c r="P4" i="1"/>
  <c r="P57" i="1"/>
  <c r="N8" i="1"/>
  <c r="H8" i="1"/>
  <c r="L11" i="1"/>
  <c r="K5" i="1"/>
  <c r="H4" i="1"/>
  <c r="D53" i="1"/>
  <c r="H5" i="1"/>
  <c r="D83" i="1"/>
  <c r="E33" i="1"/>
  <c r="G23" i="1"/>
  <c r="G33" i="1" s="1"/>
  <c r="F23" i="1"/>
  <c r="F33" i="1" s="1"/>
  <c r="D73" i="1"/>
  <c r="R73" i="1" s="1"/>
  <c r="D71" i="1"/>
  <c r="R71" i="1" s="1"/>
  <c r="D70" i="1"/>
  <c r="R70" i="1" s="1"/>
  <c r="D68" i="1"/>
  <c r="R68" i="1" s="1"/>
  <c r="M53" i="1"/>
  <c r="M54" i="1" s="1"/>
  <c r="D61" i="1"/>
  <c r="E47" i="1"/>
  <c r="R47" i="1" s="1"/>
  <c r="D52" i="1"/>
  <c r="R52" i="1" s="1"/>
  <c r="N115" i="9" l="1"/>
  <c r="N116" i="9" s="1"/>
  <c r="P115" i="9"/>
  <c r="P116" i="9" s="1"/>
  <c r="G115" i="9"/>
  <c r="G116" i="9" s="1"/>
  <c r="I115" i="9"/>
  <c r="I116" i="9" s="1"/>
  <c r="F115" i="9"/>
  <c r="F116" i="9" s="1"/>
  <c r="R112" i="9"/>
  <c r="E112" i="9" s="1"/>
  <c r="S112" i="9" s="1"/>
  <c r="R115" i="9"/>
  <c r="R116" i="9" s="1"/>
  <c r="H115" i="9"/>
  <c r="H116" i="9" s="1"/>
  <c r="J58" i="9"/>
  <c r="J115" i="9" s="1"/>
  <c r="J116" i="9" s="1"/>
  <c r="L58" i="9"/>
  <c r="L115" i="9" s="1"/>
  <c r="L116" i="9" s="1"/>
  <c r="O118" i="9"/>
  <c r="O119" i="9" s="1"/>
  <c r="Q58" i="9"/>
  <c r="S55" i="9"/>
  <c r="L118" i="9"/>
  <c r="L119" i="9" s="1"/>
  <c r="L23" i="9"/>
  <c r="S53" i="9"/>
  <c r="S58" i="9" s="1"/>
  <c r="J118" i="9"/>
  <c r="J119" i="9" s="1"/>
  <c r="R53" i="1"/>
  <c r="P59" i="1"/>
  <c r="R57" i="1"/>
  <c r="D62" i="1"/>
  <c r="R62" i="1" s="1"/>
  <c r="R61" i="1"/>
  <c r="D101" i="8"/>
  <c r="Q100" i="8"/>
  <c r="Q101" i="8" s="1"/>
  <c r="Q102" i="8" s="1"/>
  <c r="Q98" i="8"/>
  <c r="D98" i="8" s="1"/>
  <c r="R98" i="8" s="1"/>
  <c r="R44" i="8"/>
  <c r="V44" i="8" s="1"/>
  <c r="E50" i="1"/>
  <c r="T27" i="1"/>
  <c r="T22" i="1"/>
  <c r="T23" i="1" s="1"/>
  <c r="T33" i="1" s="1"/>
  <c r="T99" i="1"/>
  <c r="S33" i="1"/>
  <c r="L37" i="1"/>
  <c r="M37" i="1"/>
  <c r="N37" i="1"/>
  <c r="Q37" i="1"/>
  <c r="P37" i="1"/>
  <c r="G37" i="1"/>
  <c r="F37" i="1"/>
  <c r="P23" i="1"/>
  <c r="P33" i="1"/>
  <c r="V29" i="1"/>
  <c r="N4" i="1"/>
  <c r="M22" i="1"/>
  <c r="R22" i="1" s="1"/>
  <c r="H14" i="1"/>
  <c r="I9" i="1"/>
  <c r="H10" i="1"/>
  <c r="I10" i="1"/>
  <c r="G118" i="9" l="1"/>
  <c r="R118" i="9"/>
  <c r="R119" i="9" s="1"/>
  <c r="I118" i="9"/>
  <c r="I119" i="9" s="1"/>
  <c r="P118" i="9"/>
  <c r="P119" i="9" s="1"/>
  <c r="F118" i="9"/>
  <c r="Q115" i="9"/>
  <c r="Q116" i="9" s="1"/>
  <c r="H118" i="9"/>
  <c r="N118" i="9"/>
  <c r="N119" i="9" s="1"/>
  <c r="S115" i="9"/>
  <c r="E118" i="9"/>
  <c r="R101" i="8"/>
  <c r="V101" i="8" s="1"/>
  <c r="R100" i="8"/>
  <c r="V100" i="8" s="1"/>
  <c r="T100" i="1"/>
  <c r="T101" i="1" s="1"/>
  <c r="Q7" i="1"/>
  <c r="P7" i="1"/>
  <c r="G13" i="1"/>
  <c r="E13" i="1"/>
  <c r="R5" i="1"/>
  <c r="D9" i="1"/>
  <c r="L13" i="1"/>
  <c r="L38" i="1" s="1"/>
  <c r="N7" i="1"/>
  <c r="C6" i="1"/>
  <c r="F6" i="1" s="1"/>
  <c r="W115" i="9" l="1"/>
  <c r="S116" i="9"/>
  <c r="Q118" i="9"/>
  <c r="Q119" i="9" s="1"/>
  <c r="C13" i="1"/>
  <c r="C17" i="1" s="1"/>
  <c r="K6" i="1"/>
  <c r="C14" i="1"/>
  <c r="E37" i="1"/>
  <c r="L41" i="1"/>
  <c r="G15" i="1"/>
  <c r="G18" i="1" s="1"/>
  <c r="G39" i="1" s="1"/>
  <c r="G38" i="1"/>
  <c r="E17" i="1"/>
  <c r="E40" i="1" s="1"/>
  <c r="E38" i="1"/>
  <c r="P13" i="1"/>
  <c r="P38" i="1" s="1"/>
  <c r="L15" i="1"/>
  <c r="L18" i="1" s="1"/>
  <c r="L39" i="1" s="1"/>
  <c r="L17" i="1"/>
  <c r="L40" i="1" s="1"/>
  <c r="E15" i="1"/>
  <c r="E18" i="1" s="1"/>
  <c r="G17" i="1"/>
  <c r="F13" i="1"/>
  <c r="F38" i="1" s="1"/>
  <c r="V32" i="1"/>
  <c r="D54" i="1"/>
  <c r="R54" i="1" s="1"/>
  <c r="D65" i="1"/>
  <c r="R65" i="1" s="1"/>
  <c r="V65" i="1" s="1"/>
  <c r="V62" i="1"/>
  <c r="K37" i="1"/>
  <c r="J37" i="1"/>
  <c r="D50" i="1"/>
  <c r="R50" i="1" s="1"/>
  <c r="D74" i="1"/>
  <c r="R74" i="1" s="1"/>
  <c r="D97" i="1"/>
  <c r="R97" i="1" s="1"/>
  <c r="D87" i="1"/>
  <c r="R87" i="1" s="1"/>
  <c r="D79" i="1"/>
  <c r="R79" i="1" s="1"/>
  <c r="D59" i="1"/>
  <c r="R59" i="1" s="1"/>
  <c r="D92" i="1"/>
  <c r="R92" i="1" s="1"/>
  <c r="I37" i="1"/>
  <c r="D37" i="1"/>
  <c r="V28" i="1"/>
  <c r="O37" i="1"/>
  <c r="V87" i="1"/>
  <c r="Q23" i="1"/>
  <c r="Q33" i="1" s="1"/>
  <c r="O23" i="1"/>
  <c r="O33" i="1" s="1"/>
  <c r="N23" i="1"/>
  <c r="N33" i="1" s="1"/>
  <c r="M23" i="1"/>
  <c r="M33" i="1" s="1"/>
  <c r="L23" i="1"/>
  <c r="L81" i="1" s="1"/>
  <c r="K23" i="1"/>
  <c r="K33" i="1" s="1"/>
  <c r="J23" i="1"/>
  <c r="J33" i="1" s="1"/>
  <c r="I23" i="1"/>
  <c r="I33" i="1" s="1"/>
  <c r="H23" i="1"/>
  <c r="H33" i="1" s="1"/>
  <c r="D23" i="1"/>
  <c r="R23" i="1" s="1"/>
  <c r="H37" i="1"/>
  <c r="S118" i="9" l="1"/>
  <c r="W118" i="9" s="1"/>
  <c r="R37" i="1"/>
  <c r="L83" i="1"/>
  <c r="R81" i="1"/>
  <c r="V24" i="1"/>
  <c r="D22" i="3"/>
  <c r="V23" i="1"/>
  <c r="V22" i="1"/>
  <c r="P17" i="1"/>
  <c r="P40" i="1" s="1"/>
  <c r="P15" i="1"/>
  <c r="P18" i="1" s="1"/>
  <c r="P39" i="1" s="1"/>
  <c r="C15" i="1"/>
  <c r="C18" i="1" s="1"/>
  <c r="C19" i="1" s="1"/>
  <c r="R6" i="1"/>
  <c r="L33" i="1"/>
  <c r="L44" i="1"/>
  <c r="F41" i="1"/>
  <c r="G19" i="1"/>
  <c r="G40" i="1"/>
  <c r="E19" i="1"/>
  <c r="E39" i="1"/>
  <c r="P41" i="1"/>
  <c r="E41" i="1"/>
  <c r="G41" i="1"/>
  <c r="L19" i="1"/>
  <c r="F17" i="1"/>
  <c r="F40" i="1" s="1"/>
  <c r="F15" i="1"/>
  <c r="F18" i="1" s="1"/>
  <c r="F39" i="1" s="1"/>
  <c r="V30" i="1"/>
  <c r="V54" i="1"/>
  <c r="V50" i="1"/>
  <c r="V74" i="1"/>
  <c r="V97" i="1"/>
  <c r="V79" i="1"/>
  <c r="R14" i="1"/>
  <c r="V59" i="1"/>
  <c r="V92" i="1"/>
  <c r="L99" i="1" l="1"/>
  <c r="L100" i="1" s="1"/>
  <c r="L101" i="1" s="1"/>
  <c r="R83" i="1"/>
  <c r="V83" i="1" s="1"/>
  <c r="P44" i="1"/>
  <c r="E44" i="1"/>
  <c r="P19" i="1"/>
  <c r="G44" i="1"/>
  <c r="F44" i="1"/>
  <c r="F99" i="1" s="1"/>
  <c r="F19" i="1"/>
  <c r="G99" i="1" l="1"/>
  <c r="G100" i="1" s="1"/>
  <c r="E99" i="1"/>
  <c r="E100" i="1" s="1"/>
  <c r="P99" i="1"/>
  <c r="P100" i="1" s="1"/>
  <c r="P101" i="1" s="1"/>
  <c r="D33" i="1"/>
  <c r="R33" i="1" s="1"/>
  <c r="F100" i="1"/>
  <c r="D13" i="1"/>
  <c r="D24" i="3" l="1"/>
  <c r="D32" i="3" s="1"/>
  <c r="D15" i="1"/>
  <c r="D18" i="1" s="1"/>
  <c r="D39" i="1" s="1"/>
  <c r="D17" i="1"/>
  <c r="D40" i="1" s="1"/>
  <c r="D38" i="1"/>
  <c r="V27" i="1" l="1"/>
  <c r="D19" i="1"/>
  <c r="D41" i="1"/>
  <c r="V33" i="1" l="1"/>
  <c r="D34" i="1"/>
  <c r="O34" i="1"/>
  <c r="F34" i="1"/>
  <c r="G34" i="1"/>
  <c r="E34" i="1"/>
  <c r="P34" i="1"/>
  <c r="Q34" i="1"/>
  <c r="N34" i="1"/>
  <c r="M34" i="1"/>
  <c r="K34" i="1"/>
  <c r="L34" i="1"/>
  <c r="I34" i="1"/>
  <c r="J34" i="1"/>
  <c r="H34" i="1"/>
  <c r="D44" i="1"/>
  <c r="D99" i="1" l="1"/>
  <c r="D100" i="1" s="1"/>
  <c r="O13" i="1"/>
  <c r="O17" i="1" s="1"/>
  <c r="O40" i="1" s="1"/>
  <c r="O38" i="1" l="1"/>
  <c r="O41" i="1" s="1"/>
  <c r="O15" i="1"/>
  <c r="O18" i="1" s="1"/>
  <c r="O19" i="1" s="1"/>
  <c r="O39" i="1" l="1"/>
  <c r="O44" i="1" s="1"/>
  <c r="O99" i="1" s="1"/>
  <c r="R4" i="1"/>
  <c r="O100" i="1" l="1"/>
  <c r="O101" i="1" s="1"/>
  <c r="N13" i="1"/>
  <c r="Q13" i="1"/>
  <c r="Q38" i="1" s="1"/>
  <c r="Q41" i="1" s="1"/>
  <c r="N15" i="1" l="1"/>
  <c r="N18" i="1" s="1"/>
  <c r="N39" i="1" s="1"/>
  <c r="N38" i="1"/>
  <c r="N17" i="1"/>
  <c r="Q17" i="1"/>
  <c r="Q40" i="1" s="1"/>
  <c r="Q15" i="1"/>
  <c r="Q18" i="1" s="1"/>
  <c r="Q39" i="1" s="1"/>
  <c r="Q44" i="1" s="1"/>
  <c r="Q99" i="1" s="1"/>
  <c r="N40" i="1" l="1"/>
  <c r="N41" i="1"/>
  <c r="N19" i="1"/>
  <c r="Q19" i="1"/>
  <c r="N44" i="1" l="1"/>
  <c r="N99" i="1" s="1"/>
  <c r="Q100" i="1"/>
  <c r="Q101" i="1" s="1"/>
  <c r="N100" i="1" l="1"/>
  <c r="N101" i="1" s="1"/>
  <c r="R7" i="1" l="1"/>
  <c r="J13" i="1"/>
  <c r="J17" i="1" s="1"/>
  <c r="J38" i="1" l="1"/>
  <c r="J41" i="1" s="1"/>
  <c r="J15" i="1"/>
  <c r="J18" i="1" s="1"/>
  <c r="J39" i="1" s="1"/>
  <c r="J40" i="1"/>
  <c r="R8" i="1"/>
  <c r="J19" i="1" l="1"/>
  <c r="J44" i="1"/>
  <c r="J99" i="1" s="1"/>
  <c r="R11" i="1"/>
  <c r="K13" i="1"/>
  <c r="K15" i="1" s="1"/>
  <c r="K18" i="1" s="1"/>
  <c r="K38" i="1" l="1"/>
  <c r="K41" i="1" s="1"/>
  <c r="J100" i="1"/>
  <c r="J101" i="1" s="1"/>
  <c r="K39" i="1"/>
  <c r="K17" i="1"/>
  <c r="K40" i="1" s="1"/>
  <c r="R12" i="1"/>
  <c r="M13" i="1"/>
  <c r="M38" i="1" s="1"/>
  <c r="K44" i="1" l="1"/>
  <c r="K99" i="1" s="1"/>
  <c r="M41" i="1"/>
  <c r="K19" i="1"/>
  <c r="M17" i="1"/>
  <c r="M40" i="1" s="1"/>
  <c r="M15" i="1"/>
  <c r="M18" i="1" s="1"/>
  <c r="M39" i="1" s="1"/>
  <c r="K100" i="1" l="1"/>
  <c r="K101" i="1" s="1"/>
  <c r="M44" i="1"/>
  <c r="M99" i="1" s="1"/>
  <c r="M19" i="1"/>
  <c r="R10" i="1"/>
  <c r="H13" i="1"/>
  <c r="H38" i="1" s="1"/>
  <c r="M100" i="1" l="1"/>
  <c r="M101" i="1" s="1"/>
  <c r="H41" i="1"/>
  <c r="H15" i="1"/>
  <c r="H18" i="1" s="1"/>
  <c r="H17" i="1"/>
  <c r="H40" i="1" s="1"/>
  <c r="H19" i="1" l="1"/>
  <c r="H39" i="1"/>
  <c r="H44" i="1" l="1"/>
  <c r="H99" i="1" l="1"/>
  <c r="H100" i="1"/>
  <c r="R9" i="1"/>
  <c r="I13" i="1"/>
  <c r="I38" i="1" s="1"/>
  <c r="R38" i="1" s="1"/>
  <c r="H101" i="1" l="1"/>
  <c r="R13" i="1"/>
  <c r="I41" i="1"/>
  <c r="R41" i="1" s="1"/>
  <c r="I17" i="1"/>
  <c r="I40" i="1" s="1"/>
  <c r="R40" i="1" s="1"/>
  <c r="I15" i="1"/>
  <c r="I18" i="1" s="1"/>
  <c r="S99" i="1" l="1"/>
  <c r="S100" i="1" s="1"/>
  <c r="S101" i="1" s="1"/>
  <c r="R15" i="1"/>
  <c r="R18" i="1" s="1"/>
  <c r="R17" i="1"/>
  <c r="I19" i="1"/>
  <c r="I39" i="1"/>
  <c r="R39" i="1" s="1"/>
  <c r="R19" i="1" l="1"/>
  <c r="I44" i="1"/>
  <c r="I99" i="1" l="1"/>
  <c r="R99" i="1" s="1"/>
  <c r="R44" i="1"/>
  <c r="V44" i="1" s="1"/>
  <c r="I100" i="1"/>
  <c r="I101" i="1" l="1"/>
  <c r="R100" i="1"/>
  <c r="V100" i="1"/>
  <c r="V9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Coit</author>
    <author>Elizabeth Coit</author>
  </authors>
  <commentList>
    <comment ref="E18" authorId="0" shapeId="0" xr:uid="{F0B9B556-5382-4523-B404-69FFECE27210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summer for Advocacy; spring and fall semester for mkting
</t>
        </r>
      </text>
    </comment>
    <comment ref="E27" authorId="1" shapeId="0" xr:uid="{8351E927-5DCE-4EE9-85A4-ED64CEACF0A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received 9/2025 - deferred until 1/2026
</t>
        </r>
      </text>
    </comment>
    <comment ref="G28" authorId="1" shapeId="0" xr:uid="{CD1ED5B7-663E-47AC-A1C9-53EFB7BE5ECF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Glick, funds rec'd</t>
        </r>
      </text>
    </comment>
    <comment ref="I28" authorId="1" shapeId="0" xr:uid="{5BC82862-C65B-4EC1-B1EC-9077E62AE46C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67500 secured via LEI; new 2-year grant secured; </t>
        </r>
      </text>
    </comment>
    <comment ref="M28" authorId="0" shapeId="0" xr:uid="{FA89F6EF-787D-449D-9859-A8E834916DC8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Actual:
NMPT $14,000
LEI $60,000
Clowes $50,000
City/CDBG 0
PLUS 
Additional funding $150,000 paid in May/June</t>
        </r>
      </text>
    </comment>
    <comment ref="N28" authorId="1" shapeId="0" xr:uid="{1CF9720B-7945-475F-9F19-1A12A2AB6407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funded only through 8/2026</t>
        </r>
      </text>
    </comment>
    <comment ref="O28" authorId="1" shapeId="0" xr:uid="{5D5706E9-AAFA-4E36-9726-6F54F966416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MHS Serves and IF grant for $75k not rec'd
</t>
        </r>
      </text>
    </comment>
    <comment ref="P28" authorId="1" shapeId="0" xr:uid="{C27828AE-9360-43DA-9D5E-3E67A269339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new funding Noyes foundation; Elevations grant declined</t>
        </r>
      </text>
    </comment>
    <comment ref="Q28" authorId="1" shapeId="0" xr:uid="{2B0DF492-D1F1-4DEE-8442-FC9C2E01B56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pending PS&amp;E budget approval and/or other funding. BUDGET approved at $75,000 </t>
        </r>
      </text>
    </comment>
    <comment ref="T29" authorId="1" shapeId="0" xr:uid="{1BDEB77C-AB24-4093-BF5F-15EB3F41976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U29" authorId="1" shapeId="0" xr:uid="{C888AE45-2B28-49CE-BBA9-01FDC497FFEC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I31" authorId="1" shapeId="0" xr:uid="{CB9914B4-4CEF-445A-9ADD-C33C454E5C2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City of Indy contract; payment rec'd</t>
        </r>
      </text>
    </comment>
    <comment ref="K31" authorId="1" shapeId="0" xr:uid="{67F63537-18C5-42EF-B4FD-0FB87EC8D7E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Contract being negotiated; likely will run 9/26 through mid-2027</t>
        </r>
      </text>
    </comment>
    <comment ref="R31" authorId="1" shapeId="0" xr:uid="{3A7EA7E9-B976-4173-B6A3-0261CECA3F3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contract for final year is higher</t>
        </r>
      </text>
    </comment>
    <comment ref="E32" authorId="1" shapeId="0" xr:uid="{4FACE568-C5FA-429B-9A6D-6065618A0619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admin fee from MCYVPC and each grant's overhead contribution</t>
        </r>
      </text>
    </comment>
    <comment ref="E36" authorId="1" shapeId="0" xr:uid="{1EE5C1ED-2FE8-45A7-BDB8-2A28ABF1617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individual donations; no event planned</t>
        </r>
      </text>
    </comment>
    <comment ref="P36" authorId="1" shapeId="0" xr:uid="{DFB862A0-5D41-4EB5-BD63-D997FDD09C29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UWCI individual donor contribution - Dr. Allen
</t>
        </r>
      </text>
    </comment>
    <comment ref="T38" authorId="1" shapeId="0" xr:uid="{3A776FD6-E348-4F7C-8027-FC38B622684E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U38" authorId="1" shapeId="0" xr:uid="{0C005B42-C9AF-4536-90A8-B946949DB1F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T42" authorId="1" shapeId="0" xr:uid="{BBDFD183-1158-45D0-9C2E-D0BA9ECE8391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U42" authorId="1" shapeId="0" xr:uid="{990DA03F-F363-4D80-920A-649AFE858098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T54" authorId="1" shapeId="0" xr:uid="{3A855D10-E162-4D28-BA91-3E0444823488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medical will increase from 677.58 to 729.76/person/month</t>
        </r>
      </text>
    </comment>
    <comment ref="E60" authorId="1" shapeId="0" xr:uid="{514DC8C5-17E7-415E-937F-3A88DF545A5F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 Public Health Assoc, IN.gov lobbying</t>
        </r>
      </text>
    </comment>
    <comment ref="E61" authorId="1" shapeId="0" xr:uid="{7D912362-677E-4AD5-A123-B50C73C8655E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Adobe, NYTimes, Hannah News, IBJ, Go Dadd, Arlo, Zoom, Hootsuite</t>
        </r>
      </text>
    </comment>
    <comment ref="F61" authorId="1" shapeId="0" xr:uid="{51DC8F88-6A29-44E8-A2AD-FC06AD8F7138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Adobe, Go Daddy, Arlo, Hootsuite</t>
        </r>
      </text>
    </comment>
    <comment ref="G61" authorId="1" shapeId="0" xr:uid="{ECFCE4F8-07F4-4073-B6C6-2331DD7F1DAC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Hannah News
</t>
        </r>
      </text>
    </comment>
    <comment ref="E62" authorId="1" shapeId="0" xr:uid="{375BE21A-E807-4C6F-B45F-333EC7721D71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$750/person x 10
</t>
        </r>
      </text>
    </comment>
    <comment ref="E63" authorId="1" shapeId="0" xr:uid="{CE05774C-9AA9-41EB-A8D1-D7A1530EB651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internal team -based training</t>
        </r>
      </text>
    </comment>
    <comment ref="E66" authorId="1" shapeId="0" xr:uid="{253FD1E9-B64E-439D-84CA-13904274FB4E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K&amp;J = $239/month
</t>
        </r>
      </text>
    </comment>
    <comment ref="E67" authorId="1" shapeId="0" xr:uid="{3842C033-DE35-4743-8CDC-8FA93AC4D1E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Foster Results QB
</t>
        </r>
      </text>
    </comment>
    <comment ref="I67" authorId="1" shapeId="0" xr:uid="{40A50DAA-7BE5-4116-8BC0-399BE297CA6C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Calendly</t>
        </r>
      </text>
    </comment>
    <comment ref="J67" authorId="1" shapeId="0" xr:uid="{DA2F67B9-5FAE-4712-8BE0-FB8885237FB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FindHelp @ $850/month</t>
        </r>
      </text>
    </comment>
    <comment ref="N67" authorId="1" shapeId="0" xr:uid="{92F0CD22-4D5F-4701-8666-039778842056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mail chimp through Aug 2026
</t>
        </r>
      </text>
    </comment>
    <comment ref="H70" authorId="1" shapeId="0" xr:uid="{E386E603-2B53-46CF-9A76-D0CC34C4F83B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contracted instructors</t>
        </r>
      </text>
    </comment>
    <comment ref="J70" authorId="1" shapeId="0" xr:uid="{F26AC85B-DDC1-4CE0-8862-058DE8EE7282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Rookie Boot camp facilitator; CPR training</t>
        </r>
      </text>
    </comment>
    <comment ref="P70" authorId="1" shapeId="0" xr:uid="{ACA8B94C-6945-4D91-886D-961E7B23CAE3}">
      <text>
        <r>
          <rPr>
            <sz val="11"/>
            <color theme="1"/>
            <rFont val="Aptos Narrow"/>
            <family val="2"/>
            <scheme val="minor"/>
          </rPr>
          <t>Elizabeth Coit:
no funding for stipends</t>
        </r>
      </text>
    </comment>
    <comment ref="J71" authorId="1" shapeId="0" xr:uid="{1DD700C0-BEF0-481D-B0BC-39D1C3E7041F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ESSA stipends</t>
        </r>
      </text>
    </comment>
    <comment ref="E75" authorId="1" shapeId="0" xr:uid="{C924B13B-05DC-44C9-B31E-27A593CCA881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foster results; donovan
</t>
        </r>
      </text>
    </comment>
    <comment ref="E78" authorId="0" shapeId="0" xr:uid="{8FD34EF3-5A40-4269-8E9D-DAF5EFDCAECC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DELETE. campaigns in support of strategic priorities outside specific programs</t>
        </r>
      </text>
    </comment>
    <comment ref="J78" authorId="0" shapeId="0" xr:uid="{145B8496-3004-4292-AC64-B341EFB1D576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Borshoff plus new creatives
</t>
        </r>
      </text>
    </comment>
    <comment ref="E80" authorId="1" shapeId="0" xr:uid="{CAAC1E99-7E7C-4455-88C1-FDF8C9F945AF}">
      <text>
        <r>
          <rPr>
            <sz val="11"/>
            <color theme="1"/>
            <rFont val="Aptos Narrow"/>
            <family val="2"/>
            <scheme val="minor"/>
          </rPr>
          <t xml:space="preserve">Elizabeth Coit:
includes fundraising consultant retainer of $5000/mnt
</t>
        </r>
      </text>
    </comment>
    <comment ref="E84" authorId="1" shapeId="0" xr:uid="{E5800C29-D118-46A1-84BC-3BE640275F82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ADT
</t>
        </r>
      </text>
    </comment>
    <comment ref="E85" authorId="1" shapeId="0" xr:uid="{271E6679-DEC0-41F5-AD2E-8A45C3A285F9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WM + Corvus janitorial</t>
        </r>
      </text>
    </comment>
    <comment ref="E86" authorId="0" shapeId="0" xr:uid="{4FA13617-F0B1-48E5-9017-00FA732E0503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space renovations - would be capitalized I assume</t>
        </r>
      </text>
    </comment>
    <comment ref="E87" authorId="1" shapeId="0" xr:uid="{A29FF99D-A1F4-456D-B5DB-EBB6D3D9C632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Level365 + xiber
</t>
        </r>
      </text>
    </comment>
    <comment ref="G95" authorId="1" shapeId="0" xr:uid="{61E14505-50D6-44EE-BB63-8C1FA18AC3A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voter registration campaign</t>
        </r>
      </text>
    </comment>
    <comment ref="J95" authorId="1" shapeId="0" xr:uid="{E06FF775-9273-4193-8D82-9A955C261507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Hygiene kits; bootcamp kits</t>
        </r>
      </text>
    </comment>
    <comment ref="M95" authorId="0" shapeId="0" xr:uid="{9AF2384A-6AD9-4717-980F-AE778400E879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subgrants
</t>
        </r>
      </text>
    </comment>
    <comment ref="P95" authorId="1" shapeId="0" xr:uid="{94C8DE20-A5C6-4EA7-9D47-4579BD90B667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develop teacher trainer model and fill in curriculum?</t>
        </r>
      </text>
    </comment>
    <comment ref="Q95" authorId="1" shapeId="0" xr:uid="{79E336B4-2323-44CC-AC65-A03F62993889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includes shirts
</t>
        </r>
      </text>
    </comment>
    <comment ref="G96" authorId="1" shapeId="0" xr:uid="{5F4F85F6-2B85-4230-8E56-FB2D25E1BAE6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YD@SH
</t>
        </r>
      </text>
    </comment>
    <comment ref="I96" authorId="1" shapeId="0" xr:uid="{4B17C106-FFCE-40CC-8E8F-D67A7A1668BE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year end celebration, cords, certificates/gifts, food </t>
        </r>
      </text>
    </comment>
    <comment ref="J96" authorId="0" shapeId="0" xr:uid="{F4954882-55FE-4A8E-AA7B-139BF45A9F21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Learning Day ($10k), ESSEA celebration ($15k), Director Mixer ($5k); Rookie Boot camps ($2.5k)</t>
        </r>
      </text>
    </comment>
    <comment ref="P96" authorId="0" shapeId="0" xr:uid="{271A42BE-FEB3-4BAB-8720-B79E5B2CDF9D}">
      <text>
        <r>
          <rPr>
            <sz val="11"/>
            <color theme="1"/>
            <rFont val="Aptos Narrow"/>
            <family val="2"/>
            <scheme val="minor"/>
          </rPr>
          <t>Liz Coit:
training</t>
        </r>
      </text>
    </comment>
    <comment ref="F98" authorId="1" shapeId="0" xr:uid="{57DDC459-6A98-4B71-B286-8D80FC6C77DC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Annual report, YAD</t>
        </r>
      </text>
    </comment>
    <comment ref="E103" authorId="1" shapeId="0" xr:uid="{6ED03D43-8A05-4548-A34B-CA037579ADC3}">
      <text>
        <r>
          <rPr>
            <sz val="11"/>
            <color theme="1"/>
            <rFont val="Aptos Narrow"/>
            <family val="2"/>
            <scheme val="minor"/>
          </rPr>
          <t>Elizabeth Coit:
open house; board related; team building</t>
        </r>
      </text>
    </comment>
    <comment ref="I103" authorId="1" shapeId="0" xr:uid="{5937BB8A-3459-4BA4-8702-FDA685963E3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refreshments for meetings</t>
        </r>
      </text>
    </comment>
    <comment ref="O103" authorId="1" shapeId="0" xr:uid="{E76EA19E-321F-482C-9F3E-F3A139D7A65B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includes stipends for participants
</t>
        </r>
      </text>
    </comment>
    <comment ref="E104" authorId="1" shapeId="0" xr:uid="{AA259220-203D-4A37-AB54-3237299414E6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non-program </t>
        </r>
      </text>
    </comment>
    <comment ref="J112" authorId="0" shapeId="0" xr:uid="{EE360ECF-A1E9-421A-B067-1457A2B2C41B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covers other SYP expenses eg Ywfor I support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Coit</author>
    <author>Elizabeth Coit</author>
  </authors>
  <commentList>
    <comment ref="D14" authorId="0" shapeId="0" xr:uid="{08E5C1A3-8146-4111-AE4C-24A49CB350F8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summer for Advocacy; spring and fall semester for mkting
</t>
        </r>
      </text>
    </comment>
    <comment ref="D21" authorId="1" shapeId="0" xr:uid="{8AA991A0-C0C8-41A0-A7B3-1A70BCBC7F90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received 9/2025 - deferred until 1/2026
</t>
        </r>
      </text>
    </comment>
    <comment ref="H22" authorId="1" shapeId="0" xr:uid="{75502B9A-B3FA-431B-9795-767ADED2A14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67500 secured via LEI; new 2-year grant will be submitted April 2026</t>
        </r>
      </text>
    </comment>
    <comment ref="L22" authorId="0" shapeId="0" xr:uid="{A5B9EFB3-DFE1-48D6-81AC-233DD0169F7A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Actual:
NMPT $14,000
LEI $60,000
Clowes $50,000
City/CDBG 0
PLUS 
Additional funding $150,000 paid in May/June</t>
        </r>
      </text>
    </comment>
    <comment ref="M22" authorId="1" shapeId="0" xr:uid="{11FF8DF2-E7CF-49D0-A7B4-DDEC6B8DAC66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funded only through 8/2026</t>
        </r>
      </text>
    </comment>
    <comment ref="N22" authorId="1" shapeId="0" xr:uid="{E7290AE5-1192-4936-B682-9CC189A53E7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MHS Serves and appl to IF for $75k
</t>
        </r>
      </text>
    </comment>
    <comment ref="O22" authorId="1" shapeId="0" xr:uid="{08FAE5A9-42B6-4B31-9456-D9C5D95C4848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declined - Elevations grant application</t>
        </r>
      </text>
    </comment>
    <comment ref="P22" authorId="1" shapeId="0" xr:uid="{870B3B4E-D953-4049-8B62-243FA5A3CE38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pending PS&amp;E budget approval and/or other funding. BUDGET approved at $75,000 </t>
        </r>
      </text>
    </comment>
    <comment ref="S23" authorId="1" shapeId="0" xr:uid="{9E6288E0-7AEA-48B1-9425-7A3F15CFCCE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T23" authorId="1" shapeId="0" xr:uid="{45DE55DF-FA55-4A67-B7A2-E882272398A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H24" authorId="1" shapeId="0" xr:uid="{FD4AED2C-1822-4C4F-8B44-E05C7CE2138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City of Indy contract; need to submit request 1Q26</t>
        </r>
      </text>
    </comment>
    <comment ref="D25" authorId="1" shapeId="0" xr:uid="{54AE7A70-E329-4F15-9286-AB3351723FE2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admin fee from MCYVPC and each grant's overhead contribution</t>
        </r>
      </text>
    </comment>
    <comment ref="D28" authorId="1" shapeId="0" xr:uid="{1F838C49-416F-414F-8832-B8B6D467D127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individual donations; no event planned</t>
        </r>
      </text>
    </comment>
    <comment ref="O28" authorId="1" shapeId="0" xr:uid="{B7D14BA2-7BF5-49C7-BAD7-4DA10E3AFA7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UWCI individual donor contribution - Dr. Allen
</t>
        </r>
      </text>
    </comment>
    <comment ref="S40" authorId="1" shapeId="0" xr:uid="{B5F3BC2C-055D-425A-8C60-ECA35AAA0F49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medical will increase from 677.58 to 729.76/person/month</t>
        </r>
      </text>
    </comment>
    <comment ref="D46" authorId="1" shapeId="0" xr:uid="{36D5AEF5-65D9-4FFD-8041-56A913443C8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 Public Health Assoc, IN.gov lobbying</t>
        </r>
      </text>
    </comment>
    <comment ref="D47" authorId="1" shapeId="0" xr:uid="{4F256566-97BE-4284-A2AA-8B68FC7C9509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Adobe, NYTimes, Hannah News, IBJ, Go Dadd, Arlo, Zoom, Hootsuite</t>
        </r>
      </text>
    </comment>
    <comment ref="E47" authorId="1" shapeId="0" xr:uid="{39C893B1-CE71-4604-AA6C-64DA91951D91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Adobe, Go Daddy, Arlo, Hootsuite</t>
        </r>
      </text>
    </comment>
    <comment ref="F47" authorId="1" shapeId="0" xr:uid="{9D1CD059-A8C6-4646-A80F-860C1E80BA51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Hannah News
</t>
        </r>
      </text>
    </comment>
    <comment ref="D48" authorId="1" shapeId="0" xr:uid="{8783D475-54FB-4CCF-A234-63DBD282003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$750/person x 10
</t>
        </r>
      </text>
    </comment>
    <comment ref="D49" authorId="1" shapeId="0" xr:uid="{8C6143BE-E7BC-4D98-9E8F-A77F631E43B0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internal team -based training</t>
        </r>
      </text>
    </comment>
    <comment ref="D52" authorId="1" shapeId="0" xr:uid="{A1C9776C-FAA0-4505-8555-892509E0835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K&amp;J = $239/month
</t>
        </r>
      </text>
    </comment>
    <comment ref="D53" authorId="1" shapeId="0" xr:uid="{083FF819-E254-4F43-8BCD-3F4B03628BA2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Foster Results QB
</t>
        </r>
      </text>
    </comment>
    <comment ref="H53" authorId="1" shapeId="0" xr:uid="{160D95E3-8CD0-4155-AD2A-42B9887FF2B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Calendly</t>
        </r>
      </text>
    </comment>
    <comment ref="I53" authorId="1" shapeId="0" xr:uid="{60374277-B64F-4AD8-B8A7-8A5DB16EC137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FindHelp @ $850/month</t>
        </r>
      </text>
    </comment>
    <comment ref="M53" authorId="1" shapeId="0" xr:uid="{794A2263-A037-47A9-AF20-31A69CDCE927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mail chimp through Aug 2026
</t>
        </r>
      </text>
    </comment>
    <comment ref="G56" authorId="1" shapeId="0" xr:uid="{E12D42A0-533B-49F7-95EE-D4D9C1A8386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contracted instructors</t>
        </r>
      </text>
    </comment>
    <comment ref="I56" authorId="1" shapeId="0" xr:uid="{8A7A7C12-1E44-473E-9349-DAA3D383B88E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Rookie Boot camp facilitator; CPR training</t>
        </r>
      </text>
    </comment>
    <comment ref="O56" authorId="1" shapeId="0" xr:uid="{AF76EF26-92FC-4D99-B68D-A453A7ED21F0}">
      <text>
        <r>
          <rPr>
            <sz val="11"/>
            <color theme="1"/>
            <rFont val="Aptos Narrow"/>
            <family val="2"/>
            <scheme val="minor"/>
          </rPr>
          <t>Elizabeth Coit:
no funding for stipends</t>
        </r>
      </text>
    </comment>
    <comment ref="I57" authorId="1" shapeId="0" xr:uid="{CC029BDA-D7FA-4B9D-BAE4-AA4F16731948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ESSA stipends</t>
        </r>
      </text>
    </comment>
    <comment ref="D61" authorId="1" shapeId="0" xr:uid="{071CC674-9E50-4E30-AEE4-2219213009B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foster results; donovan
</t>
        </r>
      </text>
    </comment>
    <comment ref="D64" authorId="0" shapeId="0" xr:uid="{98353FC2-FE56-489D-AD46-1E4DC058A4D6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campaigns in support of strategic priorities outside specific programs</t>
        </r>
      </text>
    </comment>
    <comment ref="I64" authorId="0" shapeId="0" xr:uid="{D45B6981-DEAF-4BBE-A4FB-589815B1318F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Borshoff plus new creatives
</t>
        </r>
      </text>
    </comment>
    <comment ref="D66" authorId="1" shapeId="0" xr:uid="{4874B4B2-138D-4F68-A9B4-DAE9BBEC338C}">
      <text>
        <r>
          <rPr>
            <sz val="11"/>
            <color theme="1"/>
            <rFont val="Aptos Narrow"/>
            <family val="2"/>
            <scheme val="minor"/>
          </rPr>
          <t xml:space="preserve">Elizabeth Coit:
includes fundraising consultant retainer of $5000/mnt
</t>
        </r>
      </text>
    </comment>
    <comment ref="D70" authorId="1" shapeId="0" xr:uid="{ACB4052D-91C8-440F-A53F-A53F2D3F5E1F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ADT
</t>
        </r>
      </text>
    </comment>
    <comment ref="D71" authorId="1" shapeId="0" xr:uid="{AECBACA5-597D-44AE-9AE9-87E825E0ECAE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WM + Corvus janitorial</t>
        </r>
      </text>
    </comment>
    <comment ref="D72" authorId="0" shapeId="0" xr:uid="{257AED6B-378C-4C6B-8943-AF078F026C2E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space renovations - would be capitalized I assume</t>
        </r>
      </text>
    </comment>
    <comment ref="D73" authorId="1" shapeId="0" xr:uid="{9A973C40-D797-4FEF-B763-6278B68074E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Level365 + xiber
</t>
        </r>
      </text>
    </comment>
    <comment ref="F81" authorId="1" shapeId="0" xr:uid="{6D2D0480-CC7E-4068-8497-98F4EF9FC40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voter registration campaign</t>
        </r>
      </text>
    </comment>
    <comment ref="I81" authorId="1" shapeId="0" xr:uid="{7B97068C-A821-445A-AFCA-D4BE5AEF21B2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Hygiene kits; bootcamp kits</t>
        </r>
      </text>
    </comment>
    <comment ref="L81" authorId="0" shapeId="0" xr:uid="{D9F228AF-1831-48DA-93F9-9C816167F357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subgrants
</t>
        </r>
      </text>
    </comment>
    <comment ref="O81" authorId="1" shapeId="0" xr:uid="{C721BE22-B12B-4AF4-8DB9-6E7290D7E317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develop teacher trainer model and fill in curriculum?</t>
        </r>
      </text>
    </comment>
    <comment ref="P81" authorId="1" shapeId="0" xr:uid="{3EF29019-5061-4D85-BCE4-83BB89EE4C6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includes shirts
</t>
        </r>
      </text>
    </comment>
    <comment ref="F82" authorId="1" shapeId="0" xr:uid="{F4C46BFD-B2A9-45EA-8FA7-C5B317EA427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YD@SH
</t>
        </r>
      </text>
    </comment>
    <comment ref="H82" authorId="1" shapeId="0" xr:uid="{1A78C9A5-7F70-4935-A88B-B7BA8A41BC12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year end celebration, cords, certificates/gifts, food </t>
        </r>
      </text>
    </comment>
    <comment ref="I82" authorId="0" shapeId="0" xr:uid="{286FC883-48A4-40A2-8D9D-EFD2DBCC1392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Learning Day ($10k), ESSEA celebration ($15k), Director Mixer ($5k); Rookie Boot camps ($2.5k)</t>
        </r>
      </text>
    </comment>
    <comment ref="O82" authorId="0" shapeId="0" xr:uid="{34656544-3DA4-49C3-A050-42B8D9683555}">
      <text>
        <r>
          <rPr>
            <sz val="11"/>
            <color theme="1"/>
            <rFont val="Aptos Narrow"/>
            <family val="2"/>
            <scheme val="minor"/>
          </rPr>
          <t>Liz Coit:
training</t>
        </r>
      </text>
    </comment>
    <comment ref="E84" authorId="1" shapeId="0" xr:uid="{B28D589A-EFAC-42D6-BFE1-06036329B72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Annual report, YAD</t>
        </r>
      </text>
    </comment>
    <comment ref="D89" authorId="1" shapeId="0" xr:uid="{065E3890-137D-486F-851A-60E11B95A35F}">
      <text>
        <r>
          <rPr>
            <sz val="11"/>
            <color theme="1"/>
            <rFont val="Aptos Narrow"/>
            <family val="2"/>
            <scheme val="minor"/>
          </rPr>
          <t>Elizabeth Coit:
open house; board related; team building</t>
        </r>
      </text>
    </comment>
    <comment ref="H89" authorId="1" shapeId="0" xr:uid="{6C42E313-570F-452A-8D80-F47174C5791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refreshments for meetings</t>
        </r>
      </text>
    </comment>
    <comment ref="N89" authorId="1" shapeId="0" xr:uid="{02ACA0E6-E0C9-4672-A03B-88BA923CF50F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includes stipends for participants
</t>
        </r>
      </text>
    </comment>
    <comment ref="D90" authorId="1" shapeId="0" xr:uid="{6D819142-53BB-46E0-8A35-95A38959D5A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non-program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Coit</author>
    <author>Elizabeth Coit</author>
  </authors>
  <commentList>
    <comment ref="D14" authorId="0" shapeId="0" xr:uid="{FC91F9CD-4619-450C-9744-1466CBA2C19E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summer for Advocacy; spring and fall semester for mkting
</t>
        </r>
      </text>
    </comment>
    <comment ref="D21" authorId="1" shapeId="0" xr:uid="{FA05C7CB-1868-4B0A-91E3-2C71A42F7EEC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received 9/2025 - deferred until 1/2026
</t>
        </r>
      </text>
    </comment>
    <comment ref="F22" authorId="1" shapeId="0" xr:uid="{782EB116-E658-4D92-83AF-2DDD9434965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Glick, funds rec'd</t>
        </r>
      </text>
    </comment>
    <comment ref="H22" authorId="1" shapeId="0" xr:uid="{86529D72-E695-44B4-8721-35411D41932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67500 secured via LEI; new 2-year grant secured; </t>
        </r>
      </text>
    </comment>
    <comment ref="L22" authorId="0" shapeId="0" xr:uid="{57487C58-288B-481C-ADF3-ED20CACFCF73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Actual:
NMPT $14,000
LEI $60,000
Clowes $50,000
City/CDBG 0
PLUS 
Additional funding $150,000 paid in May/June</t>
        </r>
      </text>
    </comment>
    <comment ref="M22" authorId="1" shapeId="0" xr:uid="{502DAB47-B276-4A17-88FA-BBFEC7D250C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funded only through 8/2026</t>
        </r>
      </text>
    </comment>
    <comment ref="N22" authorId="1" shapeId="0" xr:uid="{0F181039-C5D4-4E9F-985D-553060634CDE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MHS Serves and IF grant for $75k not rec'd
</t>
        </r>
      </text>
    </comment>
    <comment ref="O22" authorId="1" shapeId="0" xr:uid="{624A2830-13D7-46CE-8912-AFC867EFEE5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new funding Noyes foundation; Elevations grant declined</t>
        </r>
      </text>
    </comment>
    <comment ref="P22" authorId="1" shapeId="0" xr:uid="{7D29E97A-7031-4974-BDE7-52064BC2CF2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pending PS&amp;E budget approval and/or other funding. BUDGET approved at $75,000 </t>
        </r>
      </text>
    </comment>
    <comment ref="S23" authorId="1" shapeId="0" xr:uid="{B2195C48-3D65-44B4-95A5-C536A319BD4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T23" authorId="1" shapeId="0" xr:uid="{183A4A59-95EE-46E8-9A85-CBD3511C00C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$520k in capital grants (exp capitalized)
</t>
        </r>
      </text>
    </comment>
    <comment ref="H24" authorId="1" shapeId="0" xr:uid="{8EC7A2AC-5366-4C4F-B353-0DE84CFBF57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City of Indy contract; payment rec'd</t>
        </r>
      </text>
    </comment>
    <comment ref="J24" authorId="1" shapeId="0" xr:uid="{56126FC0-4DFD-4315-95F9-EA5F043A5AF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Contract being negotiated; likely will run 9/26 through mid-2027</t>
        </r>
      </text>
    </comment>
    <comment ref="Q24" authorId="1" shapeId="0" xr:uid="{8A9EF7FF-715B-4188-8801-3CE93766BE8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contract for final year is higher</t>
        </r>
      </text>
    </comment>
    <comment ref="D25" authorId="1" shapeId="0" xr:uid="{4FE8BC16-69B5-4323-B7EF-5DD872D0376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admin fee from MCYVPC and each grant's overhead contribution</t>
        </r>
      </text>
    </comment>
    <comment ref="D28" authorId="1" shapeId="0" xr:uid="{65DF6C5D-EAC4-405B-B2AD-15F6CFAB127B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individual donations; no event planned</t>
        </r>
      </text>
    </comment>
    <comment ref="O28" authorId="1" shapeId="0" xr:uid="{CC87B2D5-13AB-497C-81F2-085A91FE5219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UWCI individual donor contribution - Dr. Allen
</t>
        </r>
      </text>
    </comment>
    <comment ref="S40" authorId="1" shapeId="0" xr:uid="{B1D1C683-3FD9-49A6-BB1C-C32B48026981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medical will increase from 677.58 to 729.76/person/month</t>
        </r>
      </text>
    </comment>
    <comment ref="D46" authorId="1" shapeId="0" xr:uid="{02A2D4D9-FC30-4F57-B373-A379F9FA8B0E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 Public Health Assoc, IN.gov lobbying</t>
        </r>
      </text>
    </comment>
    <comment ref="D47" authorId="1" shapeId="0" xr:uid="{D83705D7-4738-404C-B771-9B502669922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Adobe, NYTimes, Hannah News, IBJ, Go Dadd, Arlo, Zoom, Hootsuite</t>
        </r>
      </text>
    </comment>
    <comment ref="E47" authorId="1" shapeId="0" xr:uid="{A9CF9D70-70F4-4D95-BDB6-6415AFE689F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Adobe, Go Daddy, Arlo, Hootsuite</t>
        </r>
      </text>
    </comment>
    <comment ref="F47" authorId="1" shapeId="0" xr:uid="{292AE42A-A8DC-401D-ACA9-6BEFC8C2248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Hannah News
</t>
        </r>
      </text>
    </comment>
    <comment ref="D48" authorId="1" shapeId="0" xr:uid="{F5F25EF3-8ED2-4181-A3D6-C653483A04B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$750/person x 10
</t>
        </r>
      </text>
    </comment>
    <comment ref="D49" authorId="1" shapeId="0" xr:uid="{0B19F20E-6A35-47A1-B8E2-E1AEF76AEE5E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internal team -based training</t>
        </r>
      </text>
    </comment>
    <comment ref="D52" authorId="1" shapeId="0" xr:uid="{A172AFF4-A01E-49F2-B5A0-923189B749D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K&amp;J = $239/month
</t>
        </r>
      </text>
    </comment>
    <comment ref="D53" authorId="1" shapeId="0" xr:uid="{82C188A4-B21A-4677-A5ED-C05361129BC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Foster Results QB
</t>
        </r>
      </text>
    </comment>
    <comment ref="H53" authorId="1" shapeId="0" xr:uid="{918BA4E4-BBC5-4378-B517-36A5064D3D82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Calendly</t>
        </r>
      </text>
    </comment>
    <comment ref="I53" authorId="1" shapeId="0" xr:uid="{C86E907B-CB12-4CC1-80CF-CCB3FC32CEDF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FindHelp @ $850/month</t>
        </r>
      </text>
    </comment>
    <comment ref="M53" authorId="1" shapeId="0" xr:uid="{98A9DCAB-3366-4E36-B80E-09A4CA2FF4E2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mail chimp through Aug 2026
</t>
        </r>
      </text>
    </comment>
    <comment ref="G56" authorId="1" shapeId="0" xr:uid="{34F7121B-DD1D-4387-B206-CAEBAF990BE6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contracted instructors</t>
        </r>
      </text>
    </comment>
    <comment ref="I56" authorId="1" shapeId="0" xr:uid="{E941D73D-A27C-40CD-A328-F230E98C10D1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Rookie Boot camp facilitator; CPR training</t>
        </r>
      </text>
    </comment>
    <comment ref="O56" authorId="1" shapeId="0" xr:uid="{AE5A9566-757E-49B0-9609-CC9A40AE9066}">
      <text>
        <r>
          <rPr>
            <sz val="11"/>
            <color theme="1"/>
            <rFont val="Aptos Narrow"/>
            <family val="2"/>
            <scheme val="minor"/>
          </rPr>
          <t>Elizabeth Coit:
no funding for stipends</t>
        </r>
      </text>
    </comment>
    <comment ref="I57" authorId="1" shapeId="0" xr:uid="{92F6349E-07F4-402E-A8C6-126B45194ABF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ESSA stipends</t>
        </r>
      </text>
    </comment>
    <comment ref="D61" authorId="1" shapeId="0" xr:uid="{3C40C008-C1EA-41A9-902B-1A24F5E4A3B0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foster results; donovan
</t>
        </r>
      </text>
    </comment>
    <comment ref="D64" authorId="0" shapeId="0" xr:uid="{0EAE34B3-FAE7-44F9-8A8B-FBBBBB20EB1B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DELETE. campaigns in support of strategic priorities outside specific programs</t>
        </r>
      </text>
    </comment>
    <comment ref="I64" authorId="0" shapeId="0" xr:uid="{A500EC1B-C6EB-4275-B62B-81912A5F8FA8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Borshoff plus new creatives
</t>
        </r>
      </text>
    </comment>
    <comment ref="D66" authorId="1" shapeId="0" xr:uid="{C51A2283-0A0D-4F0E-A322-0E2264F63C92}">
      <text>
        <r>
          <rPr>
            <sz val="11"/>
            <color theme="1"/>
            <rFont val="Aptos Narrow"/>
            <family val="2"/>
            <scheme val="minor"/>
          </rPr>
          <t xml:space="preserve">Elizabeth Coit:
includes fundraising consultant retainer of $5000/mnt
</t>
        </r>
      </text>
    </comment>
    <comment ref="D70" authorId="1" shapeId="0" xr:uid="{3F9603A8-0798-48B6-86C9-92A05B5C7C38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ADT
</t>
        </r>
      </text>
    </comment>
    <comment ref="D71" authorId="1" shapeId="0" xr:uid="{E80180FC-25AE-4116-9196-961D3DF5AB0C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WM + Corvus janitorial</t>
        </r>
      </text>
    </comment>
    <comment ref="D72" authorId="0" shapeId="0" xr:uid="{32C49E52-0897-48B1-9D3A-A4E6E1667537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space renovations - would be capitalized I assume</t>
        </r>
      </text>
    </comment>
    <comment ref="D73" authorId="1" shapeId="0" xr:uid="{C41E5AB4-65D3-42AA-BB68-37B8126E5EE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Level365 + xiber
</t>
        </r>
      </text>
    </comment>
    <comment ref="F81" authorId="1" shapeId="0" xr:uid="{4FB74148-B3E5-46A2-BE4C-E68A19A9625D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voter registration campaign</t>
        </r>
      </text>
    </comment>
    <comment ref="I81" authorId="1" shapeId="0" xr:uid="{8CD77605-27AE-4E61-9D06-A1353B8F557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Hygiene kits; bootcamp kits</t>
        </r>
      </text>
    </comment>
    <comment ref="L81" authorId="0" shapeId="0" xr:uid="{0E9D03DE-FCC4-4C69-928D-4A3BBABB74AE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subgrants
</t>
        </r>
      </text>
    </comment>
    <comment ref="O81" authorId="1" shapeId="0" xr:uid="{1898032E-E7E5-4A03-9631-B0FC571FAD53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develop teacher trainer model and fill in curriculum?</t>
        </r>
      </text>
    </comment>
    <comment ref="P81" authorId="1" shapeId="0" xr:uid="{7EBC1AE6-C41C-4E7D-B6F4-213B0EB98FE1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includes shirts
</t>
        </r>
      </text>
    </comment>
    <comment ref="F82" authorId="1" shapeId="0" xr:uid="{8429D9C8-159C-4003-BBC7-73DE560E8C8A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YD@SH
</t>
        </r>
      </text>
    </comment>
    <comment ref="H82" authorId="1" shapeId="0" xr:uid="{7AE46525-67E8-499D-B7A8-2C79091D7D6C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year end celebration, cords, certificates/gifts, food </t>
        </r>
      </text>
    </comment>
    <comment ref="I82" authorId="0" shapeId="0" xr:uid="{D3E16BC0-CD1F-49F7-9E83-03D31AB42F4F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Learning Day ($10k), ESSEA celebration ($15k), Director Mixer ($5k); Rookie Boot camps ($2.5k)</t>
        </r>
      </text>
    </comment>
    <comment ref="O82" authorId="0" shapeId="0" xr:uid="{DF6D707B-FC7C-4552-B15A-CB9232960840}">
      <text>
        <r>
          <rPr>
            <sz val="11"/>
            <color theme="1"/>
            <rFont val="Aptos Narrow"/>
            <family val="2"/>
            <scheme val="minor"/>
          </rPr>
          <t>Liz Coit:
training</t>
        </r>
      </text>
    </comment>
    <comment ref="E84" authorId="1" shapeId="0" xr:uid="{6AADCFB1-3EEC-46F4-926A-49001CD20877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Annual report, YAD</t>
        </r>
      </text>
    </comment>
    <comment ref="D89" authorId="1" shapeId="0" xr:uid="{5334450F-46B0-480C-A8FA-83D7F8511821}">
      <text>
        <r>
          <rPr>
            <sz val="11"/>
            <color theme="1"/>
            <rFont val="Aptos Narrow"/>
            <family val="2"/>
            <scheme val="minor"/>
          </rPr>
          <t>Elizabeth Coit:
open house; board related; team building</t>
        </r>
      </text>
    </comment>
    <comment ref="H89" authorId="1" shapeId="0" xr:uid="{706E8B87-3CE4-464E-ADFB-DFFCDD983B54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 refreshments for meetings</t>
        </r>
      </text>
    </comment>
    <comment ref="N89" authorId="1" shapeId="0" xr:uid="{3F56D77B-73D8-4A6D-8695-623BF364C760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includes stipends for participants
</t>
        </r>
      </text>
    </comment>
    <comment ref="D90" authorId="1" shapeId="0" xr:uid="{D41C793C-DA05-4C8F-882E-2B511D029305}">
      <text>
        <r>
          <rPr>
            <b/>
            <sz val="9"/>
            <color indexed="81"/>
            <rFont val="Tahoma"/>
            <family val="2"/>
          </rPr>
          <t>Elizabeth Coit:</t>
        </r>
        <r>
          <rPr>
            <sz val="9"/>
            <color indexed="81"/>
            <rFont val="Tahoma"/>
            <family val="2"/>
          </rPr>
          <t xml:space="preserve">
non-program </t>
        </r>
      </text>
    </comment>
    <comment ref="I98" authorId="0" shapeId="0" xr:uid="{6492BFFA-E53E-4ABB-8FD5-EA7B815DEFF5}">
      <text>
        <r>
          <rPr>
            <b/>
            <sz val="9"/>
            <color indexed="81"/>
            <rFont val="Tahoma"/>
            <family val="2"/>
          </rPr>
          <t>Liz Coit:</t>
        </r>
        <r>
          <rPr>
            <sz val="9"/>
            <color indexed="81"/>
            <rFont val="Tahoma"/>
            <family val="2"/>
          </rPr>
          <t xml:space="preserve">
covers other SYP expenses eg Ywfor I support</t>
        </r>
      </text>
    </comment>
  </commentList>
</comments>
</file>

<file path=xl/sharedStrings.xml><?xml version="1.0" encoding="utf-8"?>
<sst xmlns="http://schemas.openxmlformats.org/spreadsheetml/2006/main" count="598" uniqueCount="205">
  <si>
    <t>MYLC</t>
  </si>
  <si>
    <t>SYP</t>
  </si>
  <si>
    <t>Glick</t>
  </si>
  <si>
    <t>EIPC</t>
  </si>
  <si>
    <t>YWforI</t>
  </si>
  <si>
    <t>MCYVPC</t>
  </si>
  <si>
    <t>Juv Ad C</t>
  </si>
  <si>
    <t>YWWB</t>
  </si>
  <si>
    <t>Salaries</t>
  </si>
  <si>
    <t>Liz</t>
  </si>
  <si>
    <t>Sarah</t>
  </si>
  <si>
    <t>Fletcher</t>
  </si>
  <si>
    <t>LaMarr</t>
  </si>
  <si>
    <t>DJ</t>
  </si>
  <si>
    <t>Salaries - Staff</t>
  </si>
  <si>
    <t>Interns</t>
  </si>
  <si>
    <t>Benefits</t>
  </si>
  <si>
    <t>Taxes</t>
  </si>
  <si>
    <t>Total Personel</t>
  </si>
  <si>
    <t>Unrestricted Grant</t>
  </si>
  <si>
    <t>Restricted Grants</t>
  </si>
  <si>
    <t>Contracts</t>
  </si>
  <si>
    <t>Fee for service</t>
  </si>
  <si>
    <t>Sponsorships</t>
  </si>
  <si>
    <t>Fundraising</t>
  </si>
  <si>
    <t>Board Contributions</t>
  </si>
  <si>
    <t>In-Kind</t>
  </si>
  <si>
    <t>Investment Income</t>
  </si>
  <si>
    <t>Personnel Expenses</t>
  </si>
  <si>
    <t>Interns and parttime</t>
  </si>
  <si>
    <t>501 · Salaries</t>
  </si>
  <si>
    <t>505 · Payroll Taxes</t>
  </si>
  <si>
    <t>510 · Benefits</t>
  </si>
  <si>
    <t>520 · Retirement</t>
  </si>
  <si>
    <t>785 · Insurance - WC</t>
  </si>
  <si>
    <t>521 · Payroll Expenses</t>
  </si>
  <si>
    <t>Total Personnel Expenses</t>
  </si>
  <si>
    <t>Personnel Development</t>
  </si>
  <si>
    <t>770 · Memberships</t>
  </si>
  <si>
    <t>765 · Subscriptions/Resources</t>
  </si>
  <si>
    <t>755 · Staff Development</t>
  </si>
  <si>
    <t>754 · Staff Training</t>
  </si>
  <si>
    <t>Total Personnel Development</t>
  </si>
  <si>
    <t>Office Technology</t>
  </si>
  <si>
    <t>712 · Hardware &amp; Support</t>
  </si>
  <si>
    <t>711 · Software as a Service</t>
  </si>
  <si>
    <t>Total Office Technology</t>
  </si>
  <si>
    <t>Consultants and Contract Labor</t>
  </si>
  <si>
    <t>605 · Contract Labor/Consultants</t>
  </si>
  <si>
    <t>610 · Awards</t>
  </si>
  <si>
    <t>636 · Technology Costs</t>
  </si>
  <si>
    <t>Total Consultants and Contract Labor</t>
  </si>
  <si>
    <t>Professional Fees</t>
  </si>
  <si>
    <t>625 · Professional Fee For Services</t>
  </si>
  <si>
    <t>Total Professional Fees</t>
  </si>
  <si>
    <t>Advertising Costs</t>
  </si>
  <si>
    <t>805 · Advertising</t>
  </si>
  <si>
    <t>Total Advertising Costs</t>
  </si>
  <si>
    <t>Occupancy Expenses</t>
  </si>
  <si>
    <t>705 · Rent</t>
  </si>
  <si>
    <t>706 · Utilities</t>
  </si>
  <si>
    <t>707 · Security</t>
  </si>
  <si>
    <t>708 · Janitorial</t>
  </si>
  <si>
    <t>709 · Repairs &amp; Maintenance</t>
  </si>
  <si>
    <t>710 · Communications</t>
  </si>
  <si>
    <t>Total Occupancy Expenses</t>
  </si>
  <si>
    <t>Supplies</t>
  </si>
  <si>
    <t>715 · Office Supplies</t>
  </si>
  <si>
    <t>720 · Computer Supplies</t>
  </si>
  <si>
    <t>725 · Postage</t>
  </si>
  <si>
    <t>Total Supplies</t>
  </si>
  <si>
    <t>Program Expense</t>
  </si>
  <si>
    <t>840 · Program Supplies</t>
  </si>
  <si>
    <t>842 · Program Events</t>
  </si>
  <si>
    <t>Total Program Expense</t>
  </si>
  <si>
    <t>735 · Printing</t>
  </si>
  <si>
    <t>Insurance</t>
  </si>
  <si>
    <t>780 · Insurance - GL/DO</t>
  </si>
  <si>
    <t>Total Insurance</t>
  </si>
  <si>
    <t>Travel and Meetings</t>
  </si>
  <si>
    <t>830 · Meeting Expense</t>
  </si>
  <si>
    <t>820 · Mileage &amp; Parking</t>
  </si>
  <si>
    <t>815 · Travel (out of state)</t>
  </si>
  <si>
    <t>Total Travel and Meetings</t>
  </si>
  <si>
    <t>Other Expenses</t>
  </si>
  <si>
    <t>995 · Miscellaneous</t>
  </si>
  <si>
    <t>980 · Interest Expense</t>
  </si>
  <si>
    <t>940 · Bank &amp; Merchant Processing Fees</t>
  </si>
  <si>
    <t>Total Other Expenses</t>
  </si>
  <si>
    <t>Overhead Charge in Grant</t>
  </si>
  <si>
    <t>965 · In Kind Expenses</t>
  </si>
  <si>
    <t>Total Expense</t>
  </si>
  <si>
    <t>City</t>
  </si>
  <si>
    <t>Ciera</t>
  </si>
  <si>
    <t>Amanda</t>
  </si>
  <si>
    <t>Budget</t>
  </si>
  <si>
    <t>Actual</t>
  </si>
  <si>
    <t>LEI</t>
  </si>
  <si>
    <t>YW for I</t>
  </si>
  <si>
    <t>LEI Ops</t>
  </si>
  <si>
    <t>TRAP</t>
  </si>
  <si>
    <t>in the bank</t>
  </si>
  <si>
    <t>IF / MHA</t>
  </si>
  <si>
    <t>JAC</t>
  </si>
  <si>
    <t>IYI</t>
  </si>
  <si>
    <t>contract, invoice</t>
  </si>
  <si>
    <t>PS&amp;E</t>
  </si>
  <si>
    <t>Net Income</t>
  </si>
  <si>
    <t xml:space="preserve"> Fundraising Expense</t>
  </si>
  <si>
    <t>Current</t>
  </si>
  <si>
    <t>w/ COI</t>
  </si>
  <si>
    <t>Lauren</t>
  </si>
  <si>
    <t>Coaltion Coordinator</t>
  </si>
  <si>
    <t>T.R.A.P.</t>
  </si>
  <si>
    <t>The Resilience Project</t>
  </si>
  <si>
    <t>Fever Confidence</t>
  </si>
  <si>
    <t>Advocacy</t>
  </si>
  <si>
    <t>Learning Network (non-program specific)</t>
  </si>
  <si>
    <t>Marketing &amp; Communications</t>
  </si>
  <si>
    <t>Administration</t>
  </si>
  <si>
    <t>2026 Final Budget</t>
  </si>
  <si>
    <t>2025 Budget</t>
  </si>
  <si>
    <t>2025 YTD through 9/2025</t>
  </si>
  <si>
    <t>2025 est
based on 9/25 YTD</t>
  </si>
  <si>
    <t xml:space="preserve">   Net Income minus the capital grant funding</t>
  </si>
  <si>
    <t>MCCOY 2026 Budget</t>
  </si>
  <si>
    <t>sponsorship proposals pending; PS&amp;E budget approval pending</t>
  </si>
  <si>
    <t>IF Elevations</t>
  </si>
  <si>
    <t>The Resilience Pr</t>
  </si>
  <si>
    <t>Glick Phil.</t>
  </si>
  <si>
    <t>Restricted Grant detail</t>
  </si>
  <si>
    <t>% of total Revenue</t>
  </si>
  <si>
    <t>Depreciation of 2025 capital expenses</t>
  </si>
  <si>
    <t>Net Operating Income</t>
  </si>
  <si>
    <t>NBofI proposal outstanding</t>
  </si>
  <si>
    <t>% Change 2026 budget vs. 2025 budget</t>
  </si>
  <si>
    <t>includes grant overhead charge</t>
  </si>
  <si>
    <t>reflect growth in board membership</t>
  </si>
  <si>
    <t>includes all membership renewals</t>
  </si>
  <si>
    <t>increased per person budget from $600 to $750</t>
  </si>
  <si>
    <t>2025 included replacement of all desktop technology</t>
  </si>
  <si>
    <t>includes Fever Confidence stipends</t>
  </si>
  <si>
    <t>includes new creatives for SYP advertising</t>
  </si>
  <si>
    <t>includes consultant fee for 12 months (only 6 months included here in 2025)</t>
  </si>
  <si>
    <t>building in regular budget for technology maintenance</t>
  </si>
  <si>
    <t>includes grant specific items</t>
  </si>
  <si>
    <t>grant driven</t>
  </si>
  <si>
    <t>assumes Open House</t>
  </si>
  <si>
    <t>reflects COL increase and 1 salary adjustment</t>
  </si>
  <si>
    <t>Waiting for Donovan review of capital expenditures and recommended schedule</t>
  </si>
  <si>
    <t>Contributions</t>
  </si>
  <si>
    <t>contract, reimburseable - discussion ongoing</t>
  </si>
  <si>
    <t>tbd</t>
  </si>
  <si>
    <t>UWCI donor towards The Resilience Project; tbd at year end</t>
  </si>
  <si>
    <t>funded through MHAI - expires 6/2026</t>
  </si>
  <si>
    <t>IF funding not secured</t>
  </si>
  <si>
    <t>Approved</t>
  </si>
  <si>
    <t>2026-28 grant approved</t>
  </si>
  <si>
    <t>133,193 Overhead fees from grants plus Training fee for service</t>
  </si>
  <si>
    <t>ytd through 5/2026; full year tbd</t>
  </si>
  <si>
    <t>Total Grants</t>
  </si>
  <si>
    <t>Salary Breakout</t>
  </si>
  <si>
    <t>INCOME</t>
  </si>
  <si>
    <t>Total Contracts, Fees, Sponsorships</t>
  </si>
  <si>
    <t>Total Fundraising, Contributions</t>
  </si>
  <si>
    <t>Total In-Kind, Invest Income</t>
  </si>
  <si>
    <t>Total Income</t>
  </si>
  <si>
    <t>EXPENSES</t>
  </si>
  <si>
    <t>MCCOY 2026 Budget - w/ Adjustments</t>
  </si>
  <si>
    <t>Check Figure</t>
  </si>
  <si>
    <t>APPROVED</t>
  </si>
  <si>
    <t>ADJUSTED</t>
  </si>
  <si>
    <t>Other/Misc</t>
  </si>
  <si>
    <t>Per Detail</t>
  </si>
  <si>
    <t>Variance</t>
  </si>
  <si>
    <t>MCCOY</t>
  </si>
  <si>
    <t>2026 Budget Comparison</t>
  </si>
  <si>
    <t>$ Var</t>
  </si>
  <si>
    <t>% Var</t>
  </si>
  <si>
    <t>Actuals</t>
  </si>
  <si>
    <t>vs. Budget</t>
  </si>
  <si>
    <t>As of:</t>
  </si>
  <si>
    <t>MAY 2026</t>
  </si>
  <si>
    <t>2026 Budget Summary</t>
  </si>
  <si>
    <t>YTD Budget</t>
  </si>
  <si>
    <t>410 · Grant Income</t>
  </si>
  <si>
    <t>420 · Contract Income</t>
  </si>
  <si>
    <t>430 · Program Service Fees</t>
  </si>
  <si>
    <t>450 · Fund/Special Events Income</t>
  </si>
  <si>
    <t>470 · In Kind Income</t>
  </si>
  <si>
    <t>480 · Interest Income</t>
  </si>
  <si>
    <t>808 · Fundraising Expense</t>
  </si>
  <si>
    <t>YTD through MAY 2026</t>
  </si>
  <si>
    <t>Grant Income</t>
  </si>
  <si>
    <t>Contract Income</t>
  </si>
  <si>
    <t>Program Service Fees</t>
  </si>
  <si>
    <t>In Kind Income</t>
  </si>
  <si>
    <t>Interest Income</t>
  </si>
  <si>
    <t>Fund/Special Event Income</t>
  </si>
  <si>
    <t>YTD MAY</t>
  </si>
  <si>
    <t>Printing</t>
  </si>
  <si>
    <t>&lt;--Due to Printing not being part of calculation</t>
  </si>
  <si>
    <t>Statement of Activities</t>
  </si>
  <si>
    <t>IF /MHAI funding</t>
  </si>
  <si>
    <t>Noyes Family grant secured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</si>
</sst>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Calibri"/>
      <family val="2"/>
    </font>
    <font>
      <sz val="10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2" tint="-0.749992370372631"/>
      <name val="Aptos Narrow"/>
      <family val="2"/>
      <scheme val="minor"/>
    </font>
    <font>
      <b/>
      <i/>
      <sz val="11"/>
      <color theme="2" tint="-0.749992370372631"/>
      <name val="Aptos Narrow"/>
      <family val="2"/>
      <scheme val="minor"/>
    </font>
    <font>
      <i/>
      <sz val="11"/>
      <color rgb="FFC00000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i/>
      <sz val="11"/>
      <color rgb="FF00206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9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NumberFormat="1" applyFont="1"/>
    <xf numFmtId="0" fontId="3" fillId="0" borderId="0" xfId="0" applyFont="1"/>
    <xf numFmtId="0" fontId="6" fillId="0" borderId="0" xfId="0" applyFont="1"/>
    <xf numFmtId="3" fontId="7" fillId="0" borderId="0" xfId="0" applyNumberFormat="1" applyFont="1"/>
    <xf numFmtId="0" fontId="6" fillId="0" borderId="9" xfId="0" applyFont="1" applyBorder="1"/>
    <xf numFmtId="164" fontId="0" fillId="0" borderId="9" xfId="1" applyNumberFormat="1" applyFont="1" applyBorder="1"/>
    <xf numFmtId="0" fontId="0" fillId="0" borderId="9" xfId="0" applyBorder="1"/>
    <xf numFmtId="0" fontId="0" fillId="2" borderId="11" xfId="0" applyFill="1" applyBorder="1"/>
    <xf numFmtId="164" fontId="0" fillId="0" borderId="11" xfId="1" applyNumberFormat="1" applyFont="1" applyBorder="1"/>
    <xf numFmtId="0" fontId="2" fillId="0" borderId="0" xfId="0" applyFont="1"/>
    <xf numFmtId="0" fontId="8" fillId="0" borderId="0" xfId="0" applyFont="1"/>
    <xf numFmtId="0" fontId="9" fillId="0" borderId="0" xfId="0" applyFont="1"/>
    <xf numFmtId="0" fontId="8" fillId="4" borderId="0" xfId="0" applyFont="1" applyFill="1" applyAlignment="1">
      <alignment horizontal="center"/>
    </xf>
    <xf numFmtId="0" fontId="9" fillId="0" borderId="5" xfId="0" applyFont="1" applyBorder="1"/>
    <xf numFmtId="164" fontId="9" fillId="0" borderId="0" xfId="0" applyNumberFormat="1" applyFont="1"/>
    <xf numFmtId="164" fontId="9" fillId="0" borderId="0" xfId="1" applyNumberFormat="1" applyFont="1"/>
    <xf numFmtId="164" fontId="9" fillId="0" borderId="5" xfId="1" applyNumberFormat="1" applyFont="1" applyBorder="1"/>
    <xf numFmtId="164" fontId="9" fillId="0" borderId="1" xfId="1" applyNumberFormat="1" applyFont="1" applyBorder="1"/>
    <xf numFmtId="164" fontId="9" fillId="0" borderId="7" xfId="1" applyNumberFormat="1" applyFont="1" applyBorder="1"/>
    <xf numFmtId="0" fontId="9" fillId="2" borderId="1" xfId="0" applyFont="1" applyFill="1" applyBorder="1"/>
    <xf numFmtId="0" fontId="9" fillId="2" borderId="7" xfId="0" applyFont="1" applyFill="1" applyBorder="1"/>
    <xf numFmtId="164" fontId="9" fillId="0" borderId="0" xfId="1" applyNumberFormat="1" applyFont="1" applyFill="1"/>
    <xf numFmtId="164" fontId="9" fillId="0" borderId="3" xfId="1" applyNumberFormat="1" applyFont="1" applyBorder="1"/>
    <xf numFmtId="164" fontId="9" fillId="0" borderId="3" xfId="1" applyNumberFormat="1" applyFont="1" applyFill="1" applyBorder="1"/>
    <xf numFmtId="164" fontId="9" fillId="0" borderId="6" xfId="1" applyNumberFormat="1" applyFont="1" applyBorder="1"/>
    <xf numFmtId="164" fontId="9" fillId="0" borderId="0" xfId="1" applyNumberFormat="1" applyFont="1" applyBorder="1"/>
    <xf numFmtId="0" fontId="10" fillId="0" borderId="0" xfId="0" applyFont="1"/>
    <xf numFmtId="165" fontId="9" fillId="0" borderId="0" xfId="2" applyNumberFormat="1" applyFont="1"/>
    <xf numFmtId="164" fontId="9" fillId="0" borderId="2" xfId="1" applyNumberFormat="1" applyFont="1" applyBorder="1"/>
    <xf numFmtId="164" fontId="9" fillId="0" borderId="2" xfId="1" applyNumberFormat="1" applyFont="1" applyFill="1" applyBorder="1"/>
    <xf numFmtId="164" fontId="9" fillId="0" borderId="8" xfId="1" applyNumberFormat="1" applyFont="1" applyBorder="1"/>
    <xf numFmtId="164" fontId="9" fillId="4" borderId="7" xfId="1" applyNumberFormat="1" applyFont="1" applyFill="1" applyBorder="1"/>
    <xf numFmtId="0" fontId="8" fillId="5" borderId="5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wrapText="1"/>
    </xf>
    <xf numFmtId="164" fontId="8" fillId="4" borderId="0" xfId="1" applyNumberFormat="1" applyFont="1" applyFill="1" applyAlignment="1">
      <alignment horizontal="center"/>
    </xf>
    <xf numFmtId="164" fontId="9" fillId="0" borderId="0" xfId="1" applyNumberFormat="1" applyFont="1" applyFill="1" applyAlignment="1">
      <alignment horizontal="left" vertical="center"/>
    </xf>
    <xf numFmtId="43" fontId="0" fillId="0" borderId="9" xfId="1" applyFont="1" applyBorder="1"/>
    <xf numFmtId="0" fontId="0" fillId="0" borderId="11" xfId="0" applyBorder="1"/>
    <xf numFmtId="164" fontId="9" fillId="0" borderId="11" xfId="1" applyNumberFormat="1" applyFont="1" applyBorder="1"/>
    <xf numFmtId="164" fontId="11" fillId="0" borderId="5" xfId="1" applyNumberFormat="1" applyFont="1" applyBorder="1"/>
    <xf numFmtId="164" fontId="9" fillId="0" borderId="1" xfId="0" applyNumberFormat="1" applyFont="1" applyBorder="1"/>
    <xf numFmtId="164" fontId="0" fillId="0" borderId="0" xfId="0" applyNumberFormat="1"/>
    <xf numFmtId="164" fontId="0" fillId="0" borderId="1" xfId="0" applyNumberFormat="1" applyBorder="1"/>
    <xf numFmtId="164" fontId="0" fillId="0" borderId="13" xfId="1" applyNumberFormat="1" applyFont="1" applyBorder="1"/>
    <xf numFmtId="164" fontId="0" fillId="0" borderId="10" xfId="1" applyNumberFormat="1" applyFont="1" applyBorder="1"/>
    <xf numFmtId="164" fontId="0" fillId="0" borderId="12" xfId="1" applyNumberFormat="1" applyFont="1" applyBorder="1"/>
    <xf numFmtId="164" fontId="0" fillId="0" borderId="14" xfId="1" applyNumberFormat="1" applyFont="1" applyBorder="1"/>
    <xf numFmtId="164" fontId="0" fillId="4" borderId="11" xfId="1" applyNumberFormat="1" applyFont="1" applyFill="1" applyBorder="1"/>
    <xf numFmtId="164" fontId="9" fillId="0" borderId="9" xfId="1" applyNumberFormat="1" applyFont="1" applyBorder="1"/>
    <xf numFmtId="164" fontId="9" fillId="3" borderId="3" xfId="1" applyNumberFormat="1" applyFont="1" applyFill="1" applyBorder="1"/>
    <xf numFmtId="164" fontId="9" fillId="0" borderId="10" xfId="1" applyNumberFormat="1" applyFont="1" applyBorder="1"/>
    <xf numFmtId="0" fontId="0" fillId="0" borderId="3" xfId="0" applyBorder="1"/>
    <xf numFmtId="164" fontId="0" fillId="0" borderId="3" xfId="1" applyNumberFormat="1" applyFont="1" applyBorder="1"/>
    <xf numFmtId="0" fontId="8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6" fontId="0" fillId="0" borderId="5" xfId="3" applyNumberFormat="1" applyFont="1" applyBorder="1"/>
    <xf numFmtId="166" fontId="0" fillId="0" borderId="0" xfId="3" applyNumberFormat="1" applyFont="1"/>
    <xf numFmtId="166" fontId="0" fillId="0" borderId="6" xfId="3" applyNumberFormat="1" applyFont="1" applyBorder="1"/>
    <xf numFmtId="166" fontId="0" fillId="0" borderId="3" xfId="3" applyNumberFormat="1" applyFont="1" applyBorder="1"/>
    <xf numFmtId="166" fontId="0" fillId="0" borderId="0" xfId="3" applyNumberFormat="1" applyFont="1" applyFill="1" applyBorder="1"/>
    <xf numFmtId="166" fontId="0" fillId="0" borderId="0" xfId="0" applyNumberFormat="1"/>
    <xf numFmtId="166" fontId="0" fillId="0" borderId="0" xfId="3" applyNumberFormat="1" applyFont="1" applyBorder="1"/>
    <xf numFmtId="0" fontId="13" fillId="0" borderId="0" xfId="0" applyFont="1"/>
    <xf numFmtId="164" fontId="0" fillId="3" borderId="0" xfId="1" applyNumberFormat="1" applyFont="1" applyFill="1"/>
    <xf numFmtId="166" fontId="0" fillId="3" borderId="0" xfId="3" applyNumberFormat="1" applyFont="1" applyFill="1"/>
    <xf numFmtId="9" fontId="0" fillId="0" borderId="9" xfId="2" applyFont="1" applyBorder="1"/>
    <xf numFmtId="9" fontId="0" fillId="0" borderId="10" xfId="2" applyFont="1" applyBorder="1"/>
    <xf numFmtId="9" fontId="0" fillId="0" borderId="15" xfId="2" applyFont="1" applyBorder="1"/>
    <xf numFmtId="0" fontId="0" fillId="0" borderId="10" xfId="0" applyBorder="1"/>
    <xf numFmtId="0" fontId="0" fillId="0" borderId="10" xfId="0" quotePrefix="1" applyBorder="1"/>
    <xf numFmtId="9" fontId="0" fillId="0" borderId="14" xfId="2" applyFont="1" applyBorder="1"/>
    <xf numFmtId="166" fontId="0" fillId="7" borderId="0" xfId="3" applyNumberFormat="1" applyFont="1" applyFill="1"/>
    <xf numFmtId="0" fontId="14" fillId="0" borderId="0" xfId="0" applyFont="1"/>
    <xf numFmtId="166" fontId="0" fillId="0" borderId="0" xfId="3" applyNumberFormat="1" applyFont="1" applyFill="1"/>
    <xf numFmtId="165" fontId="0" fillId="0" borderId="0" xfId="2" applyNumberFormat="1" applyFont="1"/>
    <xf numFmtId="164" fontId="0" fillId="0" borderId="0" xfId="1" applyNumberFormat="1" applyFont="1" applyFill="1"/>
    <xf numFmtId="164" fontId="9" fillId="4" borderId="0" xfId="1" applyNumberFormat="1" applyFont="1" applyFill="1"/>
    <xf numFmtId="164" fontId="0" fillId="0" borderId="1" xfId="1" applyNumberFormat="1" applyFont="1" applyBorder="1"/>
    <xf numFmtId="164" fontId="0" fillId="0" borderId="0" xfId="1" applyNumberFormat="1" applyFont="1" applyBorder="1"/>
    <xf numFmtId="166" fontId="0" fillId="3" borderId="3" xfId="3" applyNumberFormat="1" applyFont="1" applyFill="1" applyBorder="1"/>
    <xf numFmtId="9" fontId="0" fillId="0" borderId="0" xfId="2" applyFont="1"/>
    <xf numFmtId="9" fontId="0" fillId="3" borderId="0" xfId="2" applyFont="1" applyFill="1"/>
    <xf numFmtId="164" fontId="9" fillId="8" borderId="3" xfId="1" applyNumberFormat="1" applyFont="1" applyFill="1" applyBorder="1"/>
    <xf numFmtId="164" fontId="9" fillId="8" borderId="0" xfId="1" applyNumberFormat="1" applyFont="1" applyFill="1"/>
    <xf numFmtId="164" fontId="9" fillId="8" borderId="5" xfId="1" applyNumberFormat="1" applyFont="1" applyFill="1" applyBorder="1"/>
    <xf numFmtId="164" fontId="9" fillId="8" borderId="4" xfId="1" applyNumberFormat="1" applyFont="1" applyFill="1" applyBorder="1"/>
    <xf numFmtId="164" fontId="9" fillId="8" borderId="10" xfId="1" applyNumberFormat="1" applyFont="1" applyFill="1" applyBorder="1"/>
    <xf numFmtId="164" fontId="8" fillId="8" borderId="10" xfId="1" applyNumberFormat="1" applyFont="1" applyFill="1" applyBorder="1"/>
    <xf numFmtId="164" fontId="9" fillId="4" borderId="5" xfId="1" applyNumberFormat="1" applyFont="1" applyFill="1" applyBorder="1"/>
    <xf numFmtId="164" fontId="9" fillId="3" borderId="0" xfId="1" applyNumberFormat="1" applyFont="1" applyFill="1"/>
    <xf numFmtId="164" fontId="9" fillId="3" borderId="2" xfId="1" applyNumberFormat="1" applyFont="1" applyFill="1" applyBorder="1"/>
    <xf numFmtId="164" fontId="0" fillId="0" borderId="0" xfId="1" applyNumberFormat="1" applyFont="1" applyFill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0" fillId="0" borderId="5" xfId="0" applyBorder="1"/>
    <xf numFmtId="0" fontId="7" fillId="0" borderId="9" xfId="0" applyFont="1" applyBorder="1"/>
    <xf numFmtId="164" fontId="0" fillId="0" borderId="5" xfId="1" applyNumberFormat="1" applyFont="1" applyBorder="1"/>
    <xf numFmtId="164" fontId="0" fillId="0" borderId="7" xfId="1" applyNumberFormat="1" applyFont="1" applyBorder="1"/>
    <xf numFmtId="164" fontId="7" fillId="0" borderId="5" xfId="1" applyNumberFormat="1" applyFont="1" applyBorder="1"/>
    <xf numFmtId="0" fontId="0" fillId="2" borderId="1" xfId="0" applyFill="1" applyBorder="1"/>
    <xf numFmtId="0" fontId="0" fillId="2" borderId="7" xfId="0" applyFill="1" applyBorder="1"/>
    <xf numFmtId="164" fontId="0" fillId="0" borderId="3" xfId="1" applyNumberFormat="1" applyFont="1" applyFill="1" applyBorder="1"/>
    <xf numFmtId="164" fontId="0" fillId="0" borderId="6" xfId="1" applyNumberFormat="1" applyFont="1" applyBorder="1"/>
    <xf numFmtId="0" fontId="16" fillId="0" borderId="0" xfId="0" applyFont="1"/>
    <xf numFmtId="164" fontId="0" fillId="4" borderId="0" xfId="1" applyNumberFormat="1" applyFont="1" applyFill="1"/>
    <xf numFmtId="164" fontId="0" fillId="4" borderId="5" xfId="1" applyNumberFormat="1" applyFont="1" applyFill="1" applyBorder="1"/>
    <xf numFmtId="0" fontId="7" fillId="0" borderId="0" xfId="0" applyFont="1"/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4" borderId="0" xfId="1" applyNumberFormat="1" applyFont="1" applyFill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165" fontId="19" fillId="0" borderId="0" xfId="2" applyNumberFormat="1" applyFont="1"/>
    <xf numFmtId="164" fontId="19" fillId="0" borderId="5" xfId="1" applyNumberFormat="1" applyFont="1" applyBorder="1"/>
    <xf numFmtId="164" fontId="19" fillId="0" borderId="9" xfId="1" applyNumberFormat="1" applyFont="1" applyBorder="1"/>
    <xf numFmtId="0" fontId="19" fillId="0" borderId="9" xfId="0" applyFont="1" applyBorder="1"/>
    <xf numFmtId="0" fontId="19" fillId="0" borderId="0" xfId="0" applyFont="1"/>
    <xf numFmtId="0" fontId="2" fillId="0" borderId="0" xfId="0" applyFont="1" applyAlignment="1">
      <alignment horizontal="right"/>
    </xf>
    <xf numFmtId="164" fontId="2" fillId="0" borderId="5" xfId="1" applyNumberFormat="1" applyFont="1" applyBorder="1"/>
    <xf numFmtId="164" fontId="2" fillId="0" borderId="9" xfId="1" applyNumberFormat="1" applyFont="1" applyBorder="1"/>
    <xf numFmtId="9" fontId="2" fillId="0" borderId="9" xfId="2" applyFont="1" applyBorder="1"/>
    <xf numFmtId="164" fontId="2" fillId="9" borderId="0" xfId="0" applyNumberFormat="1" applyFont="1" applyFill="1"/>
    <xf numFmtId="164" fontId="2" fillId="9" borderId="0" xfId="1" applyNumberFormat="1" applyFont="1" applyFill="1"/>
    <xf numFmtId="0" fontId="20" fillId="9" borderId="0" xfId="0" applyFont="1" applyFill="1"/>
    <xf numFmtId="0" fontId="2" fillId="9" borderId="0" xfId="0" applyFont="1" applyFill="1"/>
    <xf numFmtId="164" fontId="2" fillId="8" borderId="17" xfId="1" applyNumberFormat="1" applyFont="1" applyFill="1" applyBorder="1"/>
    <xf numFmtId="164" fontId="1" fillId="8" borderId="1" xfId="1" applyNumberFormat="1" applyFont="1" applyFill="1" applyBorder="1"/>
    <xf numFmtId="164" fontId="1" fillId="0" borderId="0" xfId="1" applyNumberFormat="1" applyFont="1"/>
    <xf numFmtId="164" fontId="1" fillId="0" borderId="0" xfId="1" applyNumberFormat="1" applyFont="1" applyFill="1"/>
    <xf numFmtId="164" fontId="1" fillId="3" borderId="0" xfId="1" applyNumberFormat="1" applyFont="1" applyFill="1"/>
    <xf numFmtId="164" fontId="1" fillId="0" borderId="0" xfId="1" applyNumberFormat="1" applyFont="1" applyBorder="1"/>
    <xf numFmtId="164" fontId="1" fillId="0" borderId="1" xfId="1" applyNumberFormat="1" applyFont="1" applyBorder="1"/>
    <xf numFmtId="164" fontId="1" fillId="8" borderId="16" xfId="1" applyNumberFormat="1" applyFont="1" applyFill="1" applyBorder="1"/>
    <xf numFmtId="164" fontId="0" fillId="0" borderId="1" xfId="1" applyNumberFormat="1" applyFont="1" applyFill="1" applyBorder="1"/>
    <xf numFmtId="164" fontId="0" fillId="3" borderId="1" xfId="1" applyNumberFormat="1" applyFont="1" applyFill="1" applyBorder="1"/>
    <xf numFmtId="9" fontId="0" fillId="0" borderId="11" xfId="2" applyFont="1" applyBorder="1"/>
    <xf numFmtId="164" fontId="1" fillId="0" borderId="0" xfId="1" applyNumberFormat="1" applyFont="1" applyFill="1" applyBorder="1"/>
    <xf numFmtId="0" fontId="2" fillId="0" borderId="17" xfId="0" applyFont="1" applyBorder="1"/>
    <xf numFmtId="0" fontId="0" fillId="0" borderId="17" xfId="0" applyBorder="1"/>
    <xf numFmtId="164" fontId="2" fillId="8" borderId="19" xfId="1" applyNumberFormat="1" applyFont="1" applyFill="1" applyBorder="1"/>
    <xf numFmtId="0" fontId="21" fillId="0" borderId="0" xfId="0" applyFont="1"/>
    <xf numFmtId="0" fontId="22" fillId="11" borderId="0" xfId="0" applyFont="1" applyFill="1"/>
    <xf numFmtId="0" fontId="23" fillId="11" borderId="0" xfId="0" applyFont="1" applyFill="1"/>
    <xf numFmtId="164" fontId="22" fillId="11" borderId="1" xfId="1" applyNumberFormat="1" applyFont="1" applyFill="1" applyBorder="1"/>
    <xf numFmtId="0" fontId="24" fillId="0" borderId="0" xfId="0" applyFont="1"/>
    <xf numFmtId="0" fontId="25" fillId="0" borderId="0" xfId="0" applyFont="1"/>
    <xf numFmtId="164" fontId="24" fillId="0" borderId="5" xfId="1" applyNumberFormat="1" applyFont="1" applyBorder="1"/>
    <xf numFmtId="164" fontId="24" fillId="0" borderId="9" xfId="1" applyNumberFormat="1" applyFont="1" applyBorder="1"/>
    <xf numFmtId="0" fontId="24" fillId="0" borderId="9" xfId="0" applyFont="1" applyBorder="1"/>
    <xf numFmtId="43" fontId="24" fillId="0" borderId="0" xfId="1" applyFont="1"/>
    <xf numFmtId="164" fontId="25" fillId="0" borderId="0" xfId="1" applyNumberFormat="1" applyFont="1" applyFill="1" applyBorder="1"/>
    <xf numFmtId="164" fontId="24" fillId="0" borderId="9" xfId="1" applyNumberFormat="1" applyFont="1" applyFill="1" applyBorder="1"/>
    <xf numFmtId="9" fontId="24" fillId="0" borderId="9" xfId="2" applyFont="1" applyFill="1" applyBorder="1"/>
    <xf numFmtId="0" fontId="15" fillId="0" borderId="17" xfId="0" applyFont="1" applyBorder="1"/>
    <xf numFmtId="164" fontId="15" fillId="4" borderId="22" xfId="1" applyNumberFormat="1" applyFont="1" applyFill="1" applyBorder="1"/>
    <xf numFmtId="9" fontId="15" fillId="0" borderId="22" xfId="2" applyFont="1" applyBorder="1"/>
    <xf numFmtId="164" fontId="15" fillId="12" borderId="17" xfId="1" applyNumberFormat="1" applyFont="1" applyFill="1" applyBorder="1"/>
    <xf numFmtId="164" fontId="15" fillId="12" borderId="21" xfId="1" applyNumberFormat="1" applyFont="1" applyFill="1" applyBorder="1"/>
    <xf numFmtId="43" fontId="0" fillId="0" borderId="0" xfId="1" applyFont="1"/>
    <xf numFmtId="0" fontId="2" fillId="13" borderId="0" xfId="0" applyFont="1" applyFill="1"/>
    <xf numFmtId="0" fontId="2" fillId="4" borderId="0" xfId="0" applyFont="1" applyFill="1"/>
    <xf numFmtId="43" fontId="2" fillId="4" borderId="0" xfId="1" applyFont="1" applyFill="1"/>
    <xf numFmtId="164" fontId="2" fillId="13" borderId="0" xfId="1" applyNumberFormat="1" applyFont="1" applyFill="1"/>
    <xf numFmtId="164" fontId="2" fillId="0" borderId="17" xfId="1" applyNumberFormat="1" applyFont="1" applyBorder="1"/>
    <xf numFmtId="0" fontId="27" fillId="0" borderId="0" xfId="0" applyFont="1"/>
    <xf numFmtId="164" fontId="27" fillId="0" borderId="0" xfId="1" applyNumberFormat="1" applyFont="1"/>
    <xf numFmtId="0" fontId="0" fillId="4" borderId="0" xfId="0" applyFill="1"/>
    <xf numFmtId="164" fontId="26" fillId="9" borderId="17" xfId="1" applyNumberFormat="1" applyFont="1" applyFill="1" applyBorder="1"/>
    <xf numFmtId="164" fontId="28" fillId="0" borderId="0" xfId="1" applyNumberFormat="1" applyFont="1" applyAlignment="1">
      <alignment horizontal="right"/>
    </xf>
    <xf numFmtId="164" fontId="28" fillId="0" borderId="0" xfId="1" applyNumberFormat="1" applyFont="1"/>
    <xf numFmtId="164" fontId="24" fillId="0" borderId="0" xfId="1" applyNumberFormat="1" applyFont="1"/>
    <xf numFmtId="43" fontId="19" fillId="0" borderId="0" xfId="1" applyFont="1"/>
    <xf numFmtId="0" fontId="24" fillId="0" borderId="0" xfId="0" applyFont="1" applyAlignment="1">
      <alignment horizontal="right"/>
    </xf>
    <xf numFmtId="0" fontId="24" fillId="4" borderId="0" xfId="0" applyFont="1" applyFill="1" applyAlignment="1">
      <alignment horizontal="right"/>
    </xf>
    <xf numFmtId="164" fontId="24" fillId="4" borderId="0" xfId="1" applyNumberFormat="1" applyFont="1" applyFill="1"/>
    <xf numFmtId="43" fontId="0" fillId="0" borderId="1" xfId="1" applyFont="1" applyBorder="1"/>
    <xf numFmtId="43" fontId="0" fillId="0" borderId="23" xfId="1" applyFont="1" applyBorder="1"/>
    <xf numFmtId="0" fontId="2" fillId="0" borderId="23" xfId="0" applyFont="1" applyBorder="1"/>
    <xf numFmtId="43" fontId="2" fillId="0" borderId="23" xfId="1" applyFont="1" applyBorder="1"/>
    <xf numFmtId="43" fontId="2" fillId="0" borderId="1" xfId="1" applyFont="1" applyBorder="1"/>
    <xf numFmtId="0" fontId="21" fillId="0" borderId="1" xfId="0" applyFont="1" applyBorder="1" applyAlignment="1">
      <alignment horizontal="left" indent="2"/>
    </xf>
    <xf numFmtId="43" fontId="2" fillId="4" borderId="5" xfId="1" applyFont="1" applyFill="1" applyBorder="1"/>
    <xf numFmtId="43" fontId="0" fillId="0" borderId="5" xfId="1" applyFont="1" applyBorder="1"/>
    <xf numFmtId="164" fontId="2" fillId="0" borderId="21" xfId="1" applyNumberFormat="1" applyFont="1" applyBorder="1"/>
    <xf numFmtId="164" fontId="28" fillId="0" borderId="5" xfId="1" applyNumberFormat="1" applyFont="1" applyBorder="1"/>
    <xf numFmtId="164" fontId="27" fillId="0" borderId="5" xfId="1" applyNumberFormat="1" applyFont="1" applyBorder="1"/>
    <xf numFmtId="164" fontId="2" fillId="13" borderId="5" xfId="1" applyNumberFormat="1" applyFont="1" applyFill="1" applyBorder="1"/>
    <xf numFmtId="164" fontId="24" fillId="4" borderId="5" xfId="1" applyNumberFormat="1" applyFont="1" applyFill="1" applyBorder="1"/>
    <xf numFmtId="164" fontId="26" fillId="9" borderId="21" xfId="1" applyNumberFormat="1" applyFont="1" applyFill="1" applyBorder="1"/>
    <xf numFmtId="43" fontId="2" fillId="4" borderId="24" xfId="1" applyFont="1" applyFill="1" applyBorder="1"/>
    <xf numFmtId="43" fontId="0" fillId="0" borderId="24" xfId="1" applyFont="1" applyBorder="1"/>
    <xf numFmtId="164" fontId="19" fillId="0" borderId="24" xfId="1" applyNumberFormat="1" applyFont="1" applyBorder="1"/>
    <xf numFmtId="164" fontId="0" fillId="0" borderId="24" xfId="1" applyNumberFormat="1" applyFont="1" applyBorder="1"/>
    <xf numFmtId="164" fontId="2" fillId="0" borderId="20" xfId="1" applyNumberFormat="1" applyFont="1" applyBorder="1"/>
    <xf numFmtId="164" fontId="24" fillId="0" borderId="24" xfId="1" applyNumberFormat="1" applyFont="1" applyBorder="1"/>
    <xf numFmtId="164" fontId="27" fillId="0" borderId="24" xfId="1" applyNumberFormat="1" applyFont="1" applyBorder="1"/>
    <xf numFmtId="164" fontId="2" fillId="13" borderId="24" xfId="1" applyNumberFormat="1" applyFont="1" applyFill="1" applyBorder="1"/>
    <xf numFmtId="43" fontId="19" fillId="0" borderId="24" xfId="1" applyFont="1" applyBorder="1"/>
    <xf numFmtId="164" fontId="2" fillId="9" borderId="20" xfId="1" applyNumberFormat="1" applyFont="1" applyFill="1" applyBorder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43" fontId="2" fillId="0" borderId="18" xfId="1" applyFont="1" applyBorder="1" applyAlignment="1">
      <alignment horizontal="center" vertical="center"/>
    </xf>
    <xf numFmtId="0" fontId="0" fillId="0" borderId="0" xfId="0" applyAlignment="1">
      <alignment horizontal="right"/>
    </xf>
    <xf numFmtId="17" fontId="0" fillId="0" borderId="0" xfId="1" quotePrefix="1" applyNumberFormat="1" applyFont="1" applyAlignment="1">
      <alignment horizontal="center"/>
    </xf>
    <xf numFmtId="43" fontId="2" fillId="0" borderId="7" xfId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164" fontId="9" fillId="14" borderId="5" xfId="1" applyNumberFormat="1" applyFont="1" applyFill="1" applyBorder="1"/>
    <xf numFmtId="164" fontId="0" fillId="14" borderId="9" xfId="1" applyNumberFormat="1" applyFont="1" applyFill="1" applyBorder="1"/>
    <xf numFmtId="0" fontId="0" fillId="14" borderId="9" xfId="0" applyFill="1" applyBorder="1"/>
    <xf numFmtId="0" fontId="0" fillId="15" borderId="0" xfId="0" applyFill="1"/>
    <xf numFmtId="164" fontId="0" fillId="15" borderId="0" xfId="1" applyNumberFormat="1" applyFont="1" applyFill="1"/>
    <xf numFmtId="164" fontId="0" fillId="15" borderId="5" xfId="1" applyNumberFormat="1" applyFont="1" applyFill="1" applyBorder="1"/>
    <xf numFmtId="0" fontId="24" fillId="15" borderId="0" xfId="0" applyFont="1" applyFill="1" applyAlignment="1">
      <alignment horizontal="right"/>
    </xf>
    <xf numFmtId="164" fontId="24" fillId="15" borderId="0" xfId="1" applyNumberFormat="1" applyFont="1" applyFill="1"/>
    <xf numFmtId="164" fontId="24" fillId="15" borderId="5" xfId="1" applyNumberFormat="1" applyFont="1" applyFill="1" applyBorder="1"/>
    <xf numFmtId="37" fontId="16" fillId="9" borderId="17" xfId="1" applyNumberFormat="1" applyFont="1" applyFill="1" applyBorder="1"/>
    <xf numFmtId="164" fontId="2" fillId="9" borderId="17" xfId="1" applyNumberFormat="1" applyFont="1" applyFill="1" applyBorder="1"/>
    <xf numFmtId="9" fontId="2" fillId="0" borderId="0" xfId="2" applyFont="1"/>
    <xf numFmtId="164" fontId="2" fillId="0" borderId="17" xfId="1" applyNumberFormat="1" applyFont="1" applyFill="1" applyBorder="1"/>
    <xf numFmtId="17" fontId="2" fillId="0" borderId="0" xfId="1" quotePrefix="1" applyNumberFormat="1" applyFont="1" applyAlignment="1">
      <alignment horizontal="center"/>
    </xf>
    <xf numFmtId="0" fontId="3" fillId="0" borderId="0" xfId="0" applyFont="1"/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0" fillId="0" borderId="0" xfId="0" applyFont="1"/>
    <xf numFmtId="0" fontId="2" fillId="5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43" fontId="2" fillId="0" borderId="0" xfId="1" applyFont="1" applyAlignment="1">
      <alignment horizontal="center"/>
    </xf>
    <xf numFmtId="0" fontId="30" fillId="16" borderId="26" xfId="0" applyFont="1" applyFill="1" applyBorder="1" applyAlignment="1">
      <alignment horizontal="center"/>
    </xf>
    <xf numFmtId="0" fontId="30" fillId="16" borderId="4" xfId="0" applyFont="1" applyFill="1" applyBorder="1" applyAlignment="1">
      <alignment horizontal="center"/>
    </xf>
    <xf numFmtId="0" fontId="30" fillId="16" borderId="27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7" fillId="0" borderId="0" xfId="0" applyFont="1"/>
    <xf numFmtId="0" fontId="15" fillId="10" borderId="0" xfId="0" applyFont="1" applyFill="1" applyAlignment="1">
      <alignment horizontal="center"/>
    </xf>
    <xf numFmtId="0" fontId="15" fillId="12" borderId="17" xfId="0" applyFont="1" applyFill="1" applyBorder="1" applyAlignment="1">
      <alignment horizontal="right"/>
    </xf>
    <xf numFmtId="166" fontId="31" fillId="0" borderId="0" xfId="3" applyNumberFormat="1" applyFont="1"/>
    <xf numFmtId="166" fontId="0" fillId="0" borderId="3" xfId="3" applyNumberFormat="1" applyFont="1" applyFill="1" applyBorder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8B53-4A9A-4995-85DD-65E1443F6C25}">
  <sheetPr>
    <tabColor theme="4" tint="-0.499984740745262"/>
  </sheetPr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7A91-B95D-47E7-8C53-6304033B989B}">
  <sheetPr>
    <tabColor theme="4" tint="0.79998168889431442"/>
  </sheetPr>
  <dimension ref="B2:G48"/>
  <sheetViews>
    <sheetView topLeftCell="A10" workbookViewId="0"/>
  </sheetViews>
  <sheetFormatPr defaultRowHeight="14.4" outlineLevelRow="1" x14ac:dyDescent="0.3"/>
  <cols>
    <col min="2" max="2" width="29.44140625" bestFit="1" customWidth="1"/>
    <col min="3" max="3" width="29.44140625" hidden="1" customWidth="1"/>
    <col min="4" max="4" width="15" style="161" customWidth="1"/>
    <col min="5" max="5" width="15" customWidth="1"/>
    <col min="6" max="7" width="14.33203125" style="161" customWidth="1"/>
  </cols>
  <sheetData>
    <row r="2" spans="2:7" x14ac:dyDescent="0.3">
      <c r="B2" s="180" t="s">
        <v>175</v>
      </c>
      <c r="C2" s="180"/>
      <c r="D2" s="181"/>
      <c r="E2" s="180"/>
    </row>
    <row r="3" spans="2:7" x14ac:dyDescent="0.3">
      <c r="B3" s="183" t="s">
        <v>176</v>
      </c>
      <c r="C3" s="183"/>
      <c r="D3" s="182"/>
      <c r="E3" s="183"/>
    </row>
    <row r="4" spans="2:7" x14ac:dyDescent="0.3">
      <c r="B4" s="120" t="s">
        <v>181</v>
      </c>
      <c r="C4" s="120"/>
      <c r="D4" s="223" t="s">
        <v>182</v>
      </c>
      <c r="E4" s="206"/>
    </row>
    <row r="6" spans="2:7" ht="15" thickBot="1" x14ac:dyDescent="0.35"/>
    <row r="7" spans="2:7" ht="16.2" thickBot="1" x14ac:dyDescent="0.35">
      <c r="B7" s="233" t="s">
        <v>202</v>
      </c>
      <c r="C7" s="234"/>
      <c r="D7" s="234"/>
      <c r="E7" s="234"/>
      <c r="F7" s="234"/>
      <c r="G7" s="235"/>
    </row>
    <row r="8" spans="2:7" x14ac:dyDescent="0.3">
      <c r="B8" s="161"/>
      <c r="C8" s="161"/>
      <c r="E8" s="161"/>
      <c r="F8" s="232" t="s">
        <v>180</v>
      </c>
      <c r="G8" s="232"/>
    </row>
    <row r="9" spans="2:7" s="202" customFormat="1" x14ac:dyDescent="0.3">
      <c r="B9" s="161"/>
      <c r="C9" s="161"/>
      <c r="D9" s="203" t="s">
        <v>199</v>
      </c>
      <c r="E9" s="203" t="s">
        <v>184</v>
      </c>
      <c r="F9" s="203" t="s">
        <v>177</v>
      </c>
      <c r="G9" s="203" t="s">
        <v>178</v>
      </c>
    </row>
    <row r="10" spans="2:7" x14ac:dyDescent="0.3">
      <c r="B10" s="163" t="s">
        <v>162</v>
      </c>
      <c r="C10" s="163"/>
      <c r="D10" s="164"/>
      <c r="E10" s="164"/>
      <c r="F10" s="164"/>
      <c r="G10" s="164"/>
    </row>
    <row r="11" spans="2:7" x14ac:dyDescent="0.3">
      <c r="E11" s="161"/>
    </row>
    <row r="12" spans="2:7" x14ac:dyDescent="0.3">
      <c r="B12" t="s">
        <v>193</v>
      </c>
      <c r="C12" s="119" t="s">
        <v>185</v>
      </c>
      <c r="D12" s="3" t="e">
        <f>#REF!</f>
        <v>#REF!</v>
      </c>
      <c r="E12" s="3">
        <f>('2026 Budget - Summary'!C10+'2026 Budget - Summary'!C11)/12*5</f>
        <v>578104.16666666663</v>
      </c>
      <c r="F12" s="3" t="e">
        <f>D12-E12</f>
        <v>#REF!</v>
      </c>
      <c r="G12" s="83">
        <f>IFERROR(F12/E12,0)</f>
        <v>0</v>
      </c>
    </row>
    <row r="13" spans="2:7" x14ac:dyDescent="0.3">
      <c r="B13" t="s">
        <v>194</v>
      </c>
      <c r="C13" s="119" t="s">
        <v>186</v>
      </c>
      <c r="D13" s="3" t="e">
        <f>#REF!</f>
        <v>#REF!</v>
      </c>
      <c r="E13" s="3">
        <f>'2026 Budget - Summary'!C12/12*5</f>
        <v>77541.666666666672</v>
      </c>
      <c r="F13" s="3" t="e">
        <f t="shared" ref="F13:F18" si="0">D13-E13</f>
        <v>#REF!</v>
      </c>
      <c r="G13" s="83">
        <f t="shared" ref="G13:G18" si="1">IFERROR(F13/E13,0)</f>
        <v>0</v>
      </c>
    </row>
    <row r="14" spans="2:7" x14ac:dyDescent="0.3">
      <c r="B14" t="s">
        <v>195</v>
      </c>
      <c r="C14" s="119" t="s">
        <v>187</v>
      </c>
      <c r="D14" s="3" t="e">
        <f>#REF!</f>
        <v>#REF!</v>
      </c>
      <c r="E14" s="3">
        <f>('2026 Budget - Summary'!C13+'2026 Budget - Summary'!C14)/12*5</f>
        <v>4615.833333333333</v>
      </c>
      <c r="F14" s="3" t="e">
        <f t="shared" si="0"/>
        <v>#REF!</v>
      </c>
      <c r="G14" s="83">
        <f t="shared" si="1"/>
        <v>0</v>
      </c>
    </row>
    <row r="15" spans="2:7" x14ac:dyDescent="0.3">
      <c r="B15" t="s">
        <v>198</v>
      </c>
      <c r="C15" s="119" t="s">
        <v>188</v>
      </c>
      <c r="D15" s="3" t="e">
        <f>#REF!</f>
        <v>#REF!</v>
      </c>
      <c r="E15" s="3">
        <f>'2026 Budget - Summary'!C15/12*5</f>
        <v>18750</v>
      </c>
      <c r="F15" s="3" t="e">
        <f t="shared" si="0"/>
        <v>#REF!</v>
      </c>
      <c r="G15" s="83">
        <f t="shared" si="1"/>
        <v>0</v>
      </c>
    </row>
    <row r="16" spans="2:7" x14ac:dyDescent="0.3">
      <c r="B16" t="s">
        <v>150</v>
      </c>
      <c r="C16" s="119" t="s">
        <v>150</v>
      </c>
      <c r="D16" s="3" t="e">
        <f>#REF!</f>
        <v>#REF!</v>
      </c>
      <c r="E16" s="3">
        <f>'2026 Budget - Summary'!C16/12*5</f>
        <v>10416.666666666668</v>
      </c>
      <c r="F16" s="3" t="e">
        <f t="shared" si="0"/>
        <v>#REF!</v>
      </c>
      <c r="G16" s="83">
        <f t="shared" si="1"/>
        <v>0</v>
      </c>
    </row>
    <row r="17" spans="2:7" x14ac:dyDescent="0.3">
      <c r="B17" t="s">
        <v>196</v>
      </c>
      <c r="C17" s="119" t="s">
        <v>189</v>
      </c>
      <c r="D17" s="3" t="e">
        <f>#REF!</f>
        <v>#REF!</v>
      </c>
      <c r="E17" s="3">
        <f>'2026 Budget - Summary'!C17/12*5</f>
        <v>1250</v>
      </c>
      <c r="F17" s="3" t="e">
        <f t="shared" si="0"/>
        <v>#REF!</v>
      </c>
      <c r="G17" s="83">
        <f t="shared" si="1"/>
        <v>0</v>
      </c>
    </row>
    <row r="18" spans="2:7" x14ac:dyDescent="0.3">
      <c r="B18" t="s">
        <v>197</v>
      </c>
      <c r="C18" s="119" t="s">
        <v>190</v>
      </c>
      <c r="D18" s="3" t="e">
        <f>#REF!</f>
        <v>#REF!</v>
      </c>
      <c r="E18" s="3">
        <f>'2026 Budget - Summary'!C18/12*5</f>
        <v>12500</v>
      </c>
      <c r="F18" s="3" t="e">
        <f t="shared" si="0"/>
        <v>#REF!</v>
      </c>
      <c r="G18" s="83">
        <f t="shared" si="1"/>
        <v>0</v>
      </c>
    </row>
    <row r="19" spans="2:7" hidden="1" x14ac:dyDescent="0.3">
      <c r="D19" s="3"/>
      <c r="E19" s="3"/>
    </row>
    <row r="20" spans="2:7" hidden="1" x14ac:dyDescent="0.3">
      <c r="D20" s="3"/>
      <c r="E20" s="3"/>
    </row>
    <row r="21" spans="2:7" x14ac:dyDescent="0.3">
      <c r="D21" s="3"/>
      <c r="E21" s="3"/>
    </row>
    <row r="22" spans="2:7" ht="15" thickBot="1" x14ac:dyDescent="0.35">
      <c r="B22" s="120" t="s">
        <v>166</v>
      </c>
      <c r="C22" s="120"/>
      <c r="D22" s="220" t="e">
        <f t="shared" ref="D22:F22" si="2">SUM(D12:D21)</f>
        <v>#REF!</v>
      </c>
      <c r="E22" s="220">
        <f t="shared" si="2"/>
        <v>703178.33333333326</v>
      </c>
      <c r="F22" s="166" t="e">
        <f t="shared" si="2"/>
        <v>#REF!</v>
      </c>
      <c r="G22" s="221">
        <f t="shared" ref="G22" si="3">IFERROR(F22/E22,0)</f>
        <v>0</v>
      </c>
    </row>
    <row r="23" spans="2:7" s="119" customFormat="1" ht="15" outlineLevel="1" thickTop="1" x14ac:dyDescent="0.3">
      <c r="B23" s="171" t="s">
        <v>173</v>
      </c>
      <c r="C23" s="171"/>
      <c r="D23" s="172" t="e">
        <f>#REF!</f>
        <v>#REF!</v>
      </c>
      <c r="E23" s="172">
        <f>'2026 Budget - Summary'!C21/12*5</f>
        <v>703178.33333333326</v>
      </c>
      <c r="F23" s="174"/>
      <c r="G23" s="174"/>
    </row>
    <row r="24" spans="2:7" s="119" customFormat="1" outlineLevel="1" x14ac:dyDescent="0.3">
      <c r="B24" s="175" t="s">
        <v>174</v>
      </c>
      <c r="C24" s="175"/>
      <c r="D24" s="173" t="e">
        <f>D22-D23</f>
        <v>#REF!</v>
      </c>
      <c r="E24" s="173">
        <f>E22-E23</f>
        <v>0</v>
      </c>
      <c r="F24" s="174"/>
      <c r="G24" s="174"/>
    </row>
    <row r="25" spans="2:7" x14ac:dyDescent="0.3">
      <c r="B25" s="167"/>
      <c r="C25" s="167"/>
      <c r="D25" s="168"/>
      <c r="E25" s="167"/>
    </row>
    <row r="26" spans="2:7" x14ac:dyDescent="0.3">
      <c r="B26" s="162" t="s">
        <v>167</v>
      </c>
      <c r="C26" s="162"/>
      <c r="D26" s="165"/>
      <c r="E26" s="162"/>
      <c r="F26" s="162"/>
      <c r="G26" s="162"/>
    </row>
    <row r="27" spans="2:7" x14ac:dyDescent="0.3">
      <c r="D27" s="3"/>
    </row>
    <row r="28" spans="2:7" x14ac:dyDescent="0.3">
      <c r="B28" t="s">
        <v>28</v>
      </c>
      <c r="C28" t="s">
        <v>28</v>
      </c>
      <c r="D28" s="3" t="e">
        <f>#REF!</f>
        <v>#REF!</v>
      </c>
      <c r="E28" s="3">
        <f>'2026 Budget - Summary'!C26/12*5</f>
        <v>369465.55874999997</v>
      </c>
      <c r="F28" s="3" t="e">
        <f t="shared" ref="F28:F41" si="4">D28-E28</f>
        <v>#REF!</v>
      </c>
      <c r="G28" s="83">
        <f t="shared" ref="G28:G41" si="5">IFERROR(F28/E28,0)</f>
        <v>0</v>
      </c>
    </row>
    <row r="29" spans="2:7" x14ac:dyDescent="0.3">
      <c r="B29" t="s">
        <v>37</v>
      </c>
      <c r="C29" t="s">
        <v>37</v>
      </c>
      <c r="D29" s="3" t="e">
        <f>#REF!</f>
        <v>#REF!</v>
      </c>
      <c r="E29" s="3">
        <f>'2026 Budget - Summary'!C27/12*5</f>
        <v>12695.4</v>
      </c>
      <c r="F29" s="3" t="e">
        <f t="shared" si="4"/>
        <v>#REF!</v>
      </c>
      <c r="G29" s="83">
        <f t="shared" si="5"/>
        <v>0</v>
      </c>
    </row>
    <row r="30" spans="2:7" x14ac:dyDescent="0.3">
      <c r="B30" t="s">
        <v>43</v>
      </c>
      <c r="C30" t="s">
        <v>43</v>
      </c>
      <c r="D30" s="3" t="e">
        <f>#REF!</f>
        <v>#REF!</v>
      </c>
      <c r="E30" s="3">
        <f>'2026 Budget - Summary'!C28/12*5</f>
        <v>6700</v>
      </c>
      <c r="F30" s="3" t="e">
        <f t="shared" si="4"/>
        <v>#REF!</v>
      </c>
      <c r="G30" s="83">
        <f t="shared" si="5"/>
        <v>0</v>
      </c>
    </row>
    <row r="31" spans="2:7" x14ac:dyDescent="0.3">
      <c r="B31" t="s">
        <v>47</v>
      </c>
      <c r="C31" t="s">
        <v>47</v>
      </c>
      <c r="D31" s="3" t="e">
        <f>#REF!</f>
        <v>#REF!</v>
      </c>
      <c r="E31" s="3">
        <f>'2026 Budget - Summary'!C29/12*5</f>
        <v>71666.666666666672</v>
      </c>
      <c r="F31" s="3" t="e">
        <f t="shared" si="4"/>
        <v>#REF!</v>
      </c>
      <c r="G31" s="83">
        <f t="shared" si="5"/>
        <v>0</v>
      </c>
    </row>
    <row r="32" spans="2:7" x14ac:dyDescent="0.3">
      <c r="B32" t="s">
        <v>52</v>
      </c>
      <c r="C32" t="s">
        <v>52</v>
      </c>
      <c r="D32" s="3" t="e">
        <f>#REF!</f>
        <v>#REF!</v>
      </c>
      <c r="E32" s="3">
        <f>'2026 Budget - Summary'!C30/12*5</f>
        <v>16570.087500000001</v>
      </c>
      <c r="F32" s="3" t="e">
        <f t="shared" si="4"/>
        <v>#REF!</v>
      </c>
      <c r="G32" s="83">
        <f t="shared" si="5"/>
        <v>0</v>
      </c>
    </row>
    <row r="33" spans="2:7" x14ac:dyDescent="0.3">
      <c r="B33" t="s">
        <v>55</v>
      </c>
      <c r="C33" t="s">
        <v>55</v>
      </c>
      <c r="D33" s="3" t="e">
        <f>#REF!</f>
        <v>#REF!</v>
      </c>
      <c r="E33" s="3">
        <f>'2026 Budget - Summary'!C31/12*5</f>
        <v>32083.333333333336</v>
      </c>
      <c r="F33" s="3" t="e">
        <f t="shared" si="4"/>
        <v>#REF!</v>
      </c>
      <c r="G33" s="83">
        <f t="shared" si="5"/>
        <v>0</v>
      </c>
    </row>
    <row r="34" spans="2:7" x14ac:dyDescent="0.3">
      <c r="B34" t="s">
        <v>108</v>
      </c>
      <c r="C34" t="s">
        <v>191</v>
      </c>
      <c r="D34" s="3" t="e">
        <f>#REF!</f>
        <v>#REF!</v>
      </c>
      <c r="E34" s="3">
        <f>'2026 Budget - Summary'!C32/12*5</f>
        <v>25000</v>
      </c>
      <c r="F34" s="3" t="e">
        <f t="shared" si="4"/>
        <v>#REF!</v>
      </c>
      <c r="G34" s="83">
        <f t="shared" si="5"/>
        <v>0</v>
      </c>
    </row>
    <row r="35" spans="2:7" x14ac:dyDescent="0.3">
      <c r="B35" t="s">
        <v>58</v>
      </c>
      <c r="C35" t="s">
        <v>58</v>
      </c>
      <c r="D35" s="3" t="e">
        <f>#REF!</f>
        <v>#REF!</v>
      </c>
      <c r="E35" s="3">
        <f>'2026 Budget - Summary'!C33/12*5</f>
        <v>41005.96666666666</v>
      </c>
      <c r="F35" s="3" t="e">
        <f t="shared" si="4"/>
        <v>#REF!</v>
      </c>
      <c r="G35" s="83">
        <f t="shared" si="5"/>
        <v>0</v>
      </c>
    </row>
    <row r="36" spans="2:7" x14ac:dyDescent="0.3">
      <c r="B36" t="s">
        <v>66</v>
      </c>
      <c r="C36" t="s">
        <v>66</v>
      </c>
      <c r="D36" s="3" t="e">
        <f>#REF!</f>
        <v>#REF!</v>
      </c>
      <c r="E36" s="3">
        <f>'2026 Budget - Summary'!C34/12*5</f>
        <v>6077.5</v>
      </c>
      <c r="F36" s="3" t="e">
        <f t="shared" si="4"/>
        <v>#REF!</v>
      </c>
      <c r="G36" s="83">
        <f t="shared" si="5"/>
        <v>0</v>
      </c>
    </row>
    <row r="37" spans="2:7" x14ac:dyDescent="0.3">
      <c r="B37" t="s">
        <v>71</v>
      </c>
      <c r="C37" t="s">
        <v>71</v>
      </c>
      <c r="D37" s="3" t="e">
        <f>#REF!</f>
        <v>#REF!</v>
      </c>
      <c r="E37" s="3">
        <f>'2026 Budget - Summary'!C35/12*5</f>
        <v>130877.29166666666</v>
      </c>
      <c r="F37" s="3" t="e">
        <f t="shared" si="4"/>
        <v>#REF!</v>
      </c>
      <c r="G37" s="83">
        <f t="shared" si="5"/>
        <v>0</v>
      </c>
    </row>
    <row r="38" spans="2:7" x14ac:dyDescent="0.3">
      <c r="B38" t="s">
        <v>200</v>
      </c>
      <c r="C38" t="s">
        <v>75</v>
      </c>
      <c r="D38" s="3" t="e">
        <f>#REF!</f>
        <v>#REF!</v>
      </c>
      <c r="E38" s="3">
        <f>'2026 Budget - Summary'!C36/12*5</f>
        <v>5322.0833333333339</v>
      </c>
      <c r="F38" s="3" t="e">
        <f t="shared" si="4"/>
        <v>#REF!</v>
      </c>
      <c r="G38" s="83">
        <f t="shared" si="5"/>
        <v>0</v>
      </c>
    </row>
    <row r="39" spans="2:7" x14ac:dyDescent="0.3">
      <c r="B39" t="s">
        <v>76</v>
      </c>
      <c r="C39" t="s">
        <v>76</v>
      </c>
      <c r="D39" s="3" t="e">
        <f>#REF!</f>
        <v>#REF!</v>
      </c>
      <c r="E39" s="3">
        <f>'2026 Budget - Summary'!C37/12*5</f>
        <v>2083.3333333333335</v>
      </c>
      <c r="F39" s="3" t="e">
        <f t="shared" si="4"/>
        <v>#REF!</v>
      </c>
      <c r="G39" s="83">
        <f t="shared" si="5"/>
        <v>0</v>
      </c>
    </row>
    <row r="40" spans="2:7" x14ac:dyDescent="0.3">
      <c r="B40" t="s">
        <v>79</v>
      </c>
      <c r="C40" t="s">
        <v>79</v>
      </c>
      <c r="D40" s="3" t="e">
        <f>#REF!</f>
        <v>#REF!</v>
      </c>
      <c r="E40" s="3">
        <f>'2026 Budget - Summary'!C38/12*5</f>
        <v>15124.166666666668</v>
      </c>
      <c r="F40" s="3" t="e">
        <f t="shared" si="4"/>
        <v>#REF!</v>
      </c>
      <c r="G40" s="83">
        <f t="shared" si="5"/>
        <v>0</v>
      </c>
    </row>
    <row r="41" spans="2:7" x14ac:dyDescent="0.3">
      <c r="B41" t="s">
        <v>84</v>
      </c>
      <c r="C41" t="s">
        <v>84</v>
      </c>
      <c r="D41" s="3" t="e">
        <f>#REF!</f>
        <v>#REF!</v>
      </c>
      <c r="E41" s="3">
        <f>'2026 Budget - Summary'!C39/12*5</f>
        <v>4039.166666666667</v>
      </c>
      <c r="F41" s="3" t="e">
        <f t="shared" si="4"/>
        <v>#REF!</v>
      </c>
      <c r="G41" s="83">
        <f t="shared" si="5"/>
        <v>0</v>
      </c>
    </row>
    <row r="42" spans="2:7" x14ac:dyDescent="0.3">
      <c r="D42" s="3"/>
    </row>
    <row r="43" spans="2:7" ht="15" thickBot="1" x14ac:dyDescent="0.35">
      <c r="B43" s="120" t="s">
        <v>166</v>
      </c>
      <c r="C43" s="120"/>
      <c r="D43" s="220" t="e">
        <f>SUM(D28:D42)</f>
        <v>#REF!</v>
      </c>
      <c r="E43" s="220">
        <f>SUM(E28:E42)</f>
        <v>738710.55458333332</v>
      </c>
      <c r="F43" s="222" t="e">
        <f>SUM(F28:F42)</f>
        <v>#REF!</v>
      </c>
      <c r="G43" s="221">
        <f t="shared" ref="G43" si="6">IFERROR(F43/E43,0)</f>
        <v>0</v>
      </c>
    </row>
    <row r="44" spans="2:7" s="119" customFormat="1" ht="15" outlineLevel="1" thickTop="1" x14ac:dyDescent="0.3">
      <c r="B44" s="171" t="s">
        <v>173</v>
      </c>
      <c r="C44" s="171"/>
      <c r="D44" s="172" t="e">
        <f>#REF!</f>
        <v>#REF!</v>
      </c>
      <c r="E44" s="172">
        <f>'2026 Budget - Summary'!C42/12*5</f>
        <v>733388.47124999994</v>
      </c>
      <c r="F44" s="174"/>
      <c r="G44" s="174"/>
    </row>
    <row r="45" spans="2:7" s="119" customFormat="1" outlineLevel="1" x14ac:dyDescent="0.3">
      <c r="B45" s="175" t="s">
        <v>174</v>
      </c>
      <c r="C45" s="175"/>
      <c r="D45" s="173" t="e">
        <f>D43-D44</f>
        <v>#REF!</v>
      </c>
      <c r="E45" s="173">
        <f>E43-E44</f>
        <v>5322.0833333333721</v>
      </c>
      <c r="F45" s="174" t="s">
        <v>201</v>
      </c>
      <c r="G45" s="174"/>
    </row>
    <row r="47" spans="2:7" ht="15" thickBot="1" x14ac:dyDescent="0.35">
      <c r="B47" s="120" t="s">
        <v>133</v>
      </c>
      <c r="C47" s="120"/>
      <c r="D47" s="219" t="e">
        <f>D22-D43</f>
        <v>#REF!</v>
      </c>
      <c r="E47" s="219">
        <f>E22-E43</f>
        <v>-35532.221250000061</v>
      </c>
    </row>
    <row r="48" spans="2:7" ht="15" thickTop="1" x14ac:dyDescent="0.3"/>
  </sheetData>
  <mergeCells count="2">
    <mergeCell ref="F8:G8"/>
    <mergeCell ref="B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5E1E5-236E-4F59-BD5A-6D5DA282602E}">
  <dimension ref="B2:H46"/>
  <sheetViews>
    <sheetView zoomScale="80" zoomScaleNormal="80" workbookViewId="0"/>
  </sheetViews>
  <sheetFormatPr defaultRowHeight="14.4" x14ac:dyDescent="0.3"/>
  <cols>
    <col min="2" max="2" width="29.44140625" bestFit="1" customWidth="1"/>
    <col min="3" max="3" width="14.33203125" style="161" customWidth="1"/>
    <col min="4" max="5" width="14.33203125" style="161" hidden="1" customWidth="1"/>
    <col min="6" max="8" width="14.33203125" style="161" customWidth="1"/>
  </cols>
  <sheetData>
    <row r="2" spans="2:8" x14ac:dyDescent="0.3">
      <c r="B2" s="180" t="s">
        <v>175</v>
      </c>
      <c r="C2" s="181"/>
      <c r="D2" s="179"/>
      <c r="E2" s="179"/>
      <c r="F2" s="179"/>
    </row>
    <row r="3" spans="2:8" x14ac:dyDescent="0.3">
      <c r="B3" s="183" t="s">
        <v>176</v>
      </c>
      <c r="C3" s="182"/>
      <c r="D3" s="178"/>
      <c r="E3" s="178"/>
      <c r="F3" s="178"/>
    </row>
    <row r="4" spans="2:8" x14ac:dyDescent="0.3">
      <c r="B4" s="206" t="s">
        <v>181</v>
      </c>
      <c r="C4" s="207" t="s">
        <v>182</v>
      </c>
    </row>
    <row r="6" spans="2:8" ht="15" thickBot="1" x14ac:dyDescent="0.35">
      <c r="B6" s="161"/>
      <c r="G6" s="232" t="s">
        <v>180</v>
      </c>
      <c r="H6" s="232"/>
    </row>
    <row r="7" spans="2:8" s="202" customFormat="1" ht="15" thickBot="1" x14ac:dyDescent="0.35">
      <c r="B7" s="209" t="s">
        <v>192</v>
      </c>
      <c r="C7" s="203" t="s">
        <v>170</v>
      </c>
      <c r="D7" s="204" t="s">
        <v>171</v>
      </c>
      <c r="E7" s="205" t="s">
        <v>174</v>
      </c>
      <c r="F7" s="208" t="s">
        <v>179</v>
      </c>
      <c r="G7" s="203" t="s">
        <v>177</v>
      </c>
      <c r="H7" s="203" t="s">
        <v>178</v>
      </c>
    </row>
    <row r="8" spans="2:8" x14ac:dyDescent="0.3">
      <c r="B8" s="163" t="s">
        <v>162</v>
      </c>
      <c r="C8" s="164"/>
      <c r="D8" s="184"/>
      <c r="E8" s="192"/>
      <c r="F8" s="164"/>
    </row>
    <row r="9" spans="2:8" x14ac:dyDescent="0.3">
      <c r="D9" s="185"/>
      <c r="E9" s="193"/>
    </row>
    <row r="10" spans="2:8" x14ac:dyDescent="0.3">
      <c r="B10" t="s">
        <v>19</v>
      </c>
      <c r="C10" s="3">
        <f>'2026 Budget - Summary'!C10/12*5</f>
        <v>141666.66666666666</v>
      </c>
      <c r="D10" s="99">
        <f>_xlfn.XLOOKUP(B10,'2026 Budget - Detail'!$B$27:$B$41,'2026 Budget - Detail'!$S$27:$S$41,,)</f>
        <v>340000</v>
      </c>
      <c r="E10" s="194">
        <f>C10-D10</f>
        <v>-198333.33333333334</v>
      </c>
      <c r="F10" s="3"/>
    </row>
    <row r="11" spans="2:8" x14ac:dyDescent="0.3">
      <c r="B11" t="s">
        <v>20</v>
      </c>
      <c r="C11" s="3">
        <f>'2026 Budget - Summary'!C11/12*5</f>
        <v>436437.5</v>
      </c>
      <c r="D11" s="99">
        <f>_xlfn.XLOOKUP(B11,'2026 Budget - Detail'!$B$27:$B$41,'2026 Budget - Detail'!$S$27:$S$41,,)</f>
        <v>1048950</v>
      </c>
      <c r="E11" s="194">
        <f t="shared" ref="E11:E18" si="0">C11-D11</f>
        <v>-612512.5</v>
      </c>
      <c r="F11" s="3"/>
    </row>
    <row r="12" spans="2:8" x14ac:dyDescent="0.3">
      <c r="B12" t="s">
        <v>21</v>
      </c>
      <c r="C12" s="3">
        <f>'2026 Budget - Summary'!C12/12*5</f>
        <v>77541.666666666672</v>
      </c>
      <c r="D12" s="99">
        <f>_xlfn.XLOOKUP(B12,'2026 Budget - Detail'!$B$27:$B$41,'2026 Budget - Detail'!$S$27:$S$41,,)</f>
        <v>186500</v>
      </c>
      <c r="E12" s="194">
        <f t="shared" si="0"/>
        <v>-108958.33333333333</v>
      </c>
      <c r="F12" s="3" t="e">
        <f>#REF!</f>
        <v>#REF!</v>
      </c>
    </row>
    <row r="13" spans="2:8" x14ac:dyDescent="0.3">
      <c r="B13" t="s">
        <v>22</v>
      </c>
      <c r="C13" s="3">
        <f>'2026 Budget - Summary'!C13/12*5</f>
        <v>2949.166666666667</v>
      </c>
      <c r="D13" s="99">
        <f>_xlfn.XLOOKUP(B13,'2026 Budget - Detail'!$B$27:$B$41,'2026 Budget - Detail'!$S$27:$S$41,,)</f>
        <v>7078</v>
      </c>
      <c r="E13" s="194">
        <f t="shared" si="0"/>
        <v>-4128.833333333333</v>
      </c>
      <c r="F13" s="3"/>
    </row>
    <row r="14" spans="2:8" x14ac:dyDescent="0.3">
      <c r="B14" t="s">
        <v>23</v>
      </c>
      <c r="C14" s="3">
        <f>'2026 Budget - Summary'!C14/12*5</f>
        <v>1666.6666666666665</v>
      </c>
      <c r="D14" s="99">
        <f>_xlfn.XLOOKUP(B14,'2026 Budget - Detail'!$B$27:$B$41,'2026 Budget - Detail'!$S$27:$S$41,,)</f>
        <v>2500</v>
      </c>
      <c r="E14" s="194">
        <f t="shared" si="0"/>
        <v>-833.33333333333348</v>
      </c>
      <c r="F14" s="3"/>
    </row>
    <row r="15" spans="2:8" x14ac:dyDescent="0.3">
      <c r="B15" t="s">
        <v>24</v>
      </c>
      <c r="C15" s="3">
        <f>'2026 Budget - Summary'!C15/12*5</f>
        <v>18750</v>
      </c>
      <c r="D15" s="99">
        <f>_xlfn.XLOOKUP(B15,'2026 Budget - Detail'!$B$27:$B$41,'2026 Budget - Detail'!$S$27:$S$41,,)</f>
        <v>47000</v>
      </c>
      <c r="E15" s="194">
        <f t="shared" si="0"/>
        <v>-28250</v>
      </c>
      <c r="F15" s="3"/>
    </row>
    <row r="16" spans="2:8" x14ac:dyDescent="0.3">
      <c r="B16" t="s">
        <v>25</v>
      </c>
      <c r="C16" s="3">
        <f>'2026 Budget - Summary'!C16/12*5</f>
        <v>10416.666666666668</v>
      </c>
      <c r="D16" s="99">
        <f>_xlfn.XLOOKUP(B16,'2026 Budget - Detail'!$B$27:$B$41,'2026 Budget - Detail'!$S$27:$S$41,,)</f>
        <v>25000</v>
      </c>
      <c r="E16" s="194">
        <f t="shared" si="0"/>
        <v>-14583.333333333332</v>
      </c>
      <c r="F16" s="3"/>
    </row>
    <row r="17" spans="2:8" x14ac:dyDescent="0.3">
      <c r="B17" t="s">
        <v>26</v>
      </c>
      <c r="C17" s="3">
        <f>'2026 Budget - Summary'!C17/12*5</f>
        <v>1250</v>
      </c>
      <c r="D17" s="99">
        <f>_xlfn.XLOOKUP(B17,'2026 Budget - Detail'!$B$27:$B$41,'2026 Budget - Detail'!$S$27:$S$41,,)</f>
        <v>3000</v>
      </c>
      <c r="E17" s="194">
        <f t="shared" si="0"/>
        <v>-1750</v>
      </c>
      <c r="F17" s="3"/>
    </row>
    <row r="18" spans="2:8" x14ac:dyDescent="0.3">
      <c r="B18" t="s">
        <v>27</v>
      </c>
      <c r="C18" s="3">
        <f>'2026 Budget - Summary'!C18/12*5</f>
        <v>12500</v>
      </c>
      <c r="D18" s="99">
        <f>_xlfn.XLOOKUP(B18,'2026 Budget - Detail'!$B$27:$B$41,'2026 Budget - Detail'!$S$27:$S$41,,)</f>
        <v>30000</v>
      </c>
      <c r="E18" s="194">
        <f t="shared" si="0"/>
        <v>-17500</v>
      </c>
      <c r="F18" s="3"/>
    </row>
    <row r="19" spans="2:8" x14ac:dyDescent="0.3">
      <c r="B19" t="s">
        <v>172</v>
      </c>
      <c r="C19" s="3">
        <f>'2026 Budget - Summary'!C19/12*5</f>
        <v>0</v>
      </c>
      <c r="D19" s="99"/>
      <c r="E19" s="195"/>
      <c r="F19" s="3"/>
    </row>
    <row r="20" spans="2:8" ht="15" thickBot="1" x14ac:dyDescent="0.35">
      <c r="B20" s="120" t="s">
        <v>166</v>
      </c>
      <c r="C20" s="166">
        <f>SUM(C10:C19)</f>
        <v>703178.33333333314</v>
      </c>
      <c r="D20" s="186">
        <f>SUM(D10:D19)</f>
        <v>1690028</v>
      </c>
      <c r="E20" s="196">
        <f>SUM(E10:E19)</f>
        <v>-986849.66666666686</v>
      </c>
      <c r="F20" s="166"/>
    </row>
    <row r="21" spans="2:8" s="119" customFormat="1" ht="15" hidden="1" thickTop="1" x14ac:dyDescent="0.3">
      <c r="B21" s="171" t="s">
        <v>173</v>
      </c>
      <c r="C21" s="172"/>
      <c r="D21" s="187">
        <f>'Budget APPR w FIXES and ADJ'!R33</f>
        <v>1690028</v>
      </c>
      <c r="E21" s="197"/>
      <c r="F21" s="173"/>
      <c r="G21" s="174"/>
      <c r="H21" s="174"/>
    </row>
    <row r="22" spans="2:8" s="119" customFormat="1" hidden="1" x14ac:dyDescent="0.3">
      <c r="B22" s="175" t="s">
        <v>174</v>
      </c>
      <c r="C22" s="173"/>
      <c r="D22" s="149">
        <f>D20-D21</f>
        <v>0</v>
      </c>
      <c r="E22" s="197"/>
      <c r="F22" s="173"/>
      <c r="G22" s="174"/>
      <c r="H22" s="174"/>
    </row>
    <row r="23" spans="2:8" ht="15" thickTop="1" x14ac:dyDescent="0.3">
      <c r="B23" s="167"/>
      <c r="C23" s="168"/>
      <c r="D23" s="188"/>
      <c r="E23" s="198"/>
      <c r="F23" s="168"/>
    </row>
    <row r="24" spans="2:8" x14ac:dyDescent="0.3">
      <c r="B24" s="162" t="s">
        <v>167</v>
      </c>
      <c r="C24" s="165"/>
      <c r="D24" s="189"/>
      <c r="E24" s="199"/>
      <c r="F24" s="165"/>
    </row>
    <row r="25" spans="2:8" x14ac:dyDescent="0.3">
      <c r="C25" s="3"/>
      <c r="D25" s="99"/>
      <c r="E25" s="195"/>
      <c r="F25" s="3"/>
    </row>
    <row r="26" spans="2:8" x14ac:dyDescent="0.3">
      <c r="B26" t="s">
        <v>36</v>
      </c>
      <c r="C26" s="3">
        <f>'2026 Budget - Summary'!C26/12*5</f>
        <v>369465.55874999997</v>
      </c>
      <c r="D26" s="99">
        <f>_xlfn.XLOOKUP(B26,'2026 Budget - Detail'!$B$50:$B$113,'2026 Budget - Detail'!$S$50:$S$113,,)</f>
        <v>870732.29649374995</v>
      </c>
      <c r="E26" s="194">
        <f t="shared" ref="E26:E40" si="1">C26-D26</f>
        <v>-501266.73774374998</v>
      </c>
      <c r="F26" s="3"/>
    </row>
    <row r="27" spans="2:8" x14ac:dyDescent="0.3">
      <c r="B27" t="s">
        <v>42</v>
      </c>
      <c r="C27" s="3">
        <f>'2026 Budget - Summary'!C27/12*5</f>
        <v>12695.4</v>
      </c>
      <c r="D27" s="99">
        <f>_xlfn.XLOOKUP(B27,'2026 Budget - Detail'!$B$50:$B$113,'2026 Budget - Detail'!$S$50:$S$113,,)</f>
        <v>30468.959999999999</v>
      </c>
      <c r="E27" s="194">
        <f t="shared" si="1"/>
        <v>-17773.559999999998</v>
      </c>
      <c r="F27" s="3"/>
    </row>
    <row r="28" spans="2:8" x14ac:dyDescent="0.3">
      <c r="B28" t="s">
        <v>46</v>
      </c>
      <c r="C28" s="3">
        <f>'2026 Budget - Summary'!C28/12*5</f>
        <v>6700</v>
      </c>
      <c r="D28" s="99">
        <f>_xlfn.XLOOKUP(B28,'2026 Budget - Detail'!$B$50:$B$113,'2026 Budget - Detail'!$S$50:$S$113,,)</f>
        <v>16080</v>
      </c>
      <c r="E28" s="194">
        <f t="shared" si="1"/>
        <v>-9380</v>
      </c>
      <c r="F28" s="3"/>
    </row>
    <row r="29" spans="2:8" x14ac:dyDescent="0.3">
      <c r="B29" t="s">
        <v>51</v>
      </c>
      <c r="C29" s="3">
        <f>'2026 Budget - Summary'!C29/12*5</f>
        <v>71666.666666666672</v>
      </c>
      <c r="D29" s="99">
        <f>_xlfn.XLOOKUP(B29,'2026 Budget - Detail'!$B$50:$B$113,'2026 Budget - Detail'!$S$50:$S$113,,)</f>
        <v>139300</v>
      </c>
      <c r="E29" s="194">
        <f t="shared" si="1"/>
        <v>-67633.333333333328</v>
      </c>
      <c r="F29" s="3"/>
    </row>
    <row r="30" spans="2:8" x14ac:dyDescent="0.3">
      <c r="B30" t="s">
        <v>54</v>
      </c>
      <c r="C30" s="3">
        <f>'2026 Budget - Summary'!C30/12*5</f>
        <v>16570.087500000001</v>
      </c>
      <c r="D30" s="99">
        <f>_xlfn.XLOOKUP(B30,'2026 Budget - Detail'!$B$50:$B$113,'2026 Budget - Detail'!$S$50:$S$113,,)</f>
        <v>44280</v>
      </c>
      <c r="E30" s="194">
        <f t="shared" si="1"/>
        <v>-27709.912499999999</v>
      </c>
      <c r="F30" s="3"/>
    </row>
    <row r="31" spans="2:8" x14ac:dyDescent="0.3">
      <c r="B31" t="s">
        <v>57</v>
      </c>
      <c r="C31" s="3">
        <f>'2026 Budget - Summary'!C31/12*5</f>
        <v>32083.333333333336</v>
      </c>
      <c r="D31" s="99">
        <f>_xlfn.XLOOKUP(B31,'2026 Budget - Detail'!$B$50:$B$113,'2026 Budget - Detail'!$S$50:$S$113,,)</f>
        <v>57000</v>
      </c>
      <c r="E31" s="194">
        <f t="shared" si="1"/>
        <v>-24916.666666666664</v>
      </c>
      <c r="F31" s="3"/>
    </row>
    <row r="32" spans="2:8" x14ac:dyDescent="0.3">
      <c r="B32" t="s">
        <v>108</v>
      </c>
      <c r="C32" s="3">
        <f>'2026 Budget - Summary'!C32/12*5</f>
        <v>25000</v>
      </c>
      <c r="D32" s="99">
        <f>_xlfn.XLOOKUP(B32,'2026 Budget - Detail'!$B$50:$B$113,'2026 Budget - Detail'!$S$50:$S$113,,)</f>
        <v>60000</v>
      </c>
      <c r="E32" s="194">
        <f t="shared" si="1"/>
        <v>-35000</v>
      </c>
      <c r="F32" s="3"/>
    </row>
    <row r="33" spans="2:8" x14ac:dyDescent="0.3">
      <c r="B33" t="s">
        <v>65</v>
      </c>
      <c r="C33" s="3">
        <f>'2026 Budget - Summary'!C33/12*5</f>
        <v>41005.96666666666</v>
      </c>
      <c r="D33" s="99">
        <f>_xlfn.XLOOKUP(B33,'2026 Budget - Detail'!$B$50:$B$113,'2026 Budget - Detail'!$S$50:$S$113,,)</f>
        <v>98414.319999999992</v>
      </c>
      <c r="E33" s="194">
        <f t="shared" si="1"/>
        <v>-57408.353333333333</v>
      </c>
      <c r="F33" s="3"/>
    </row>
    <row r="34" spans="2:8" x14ac:dyDescent="0.3">
      <c r="B34" t="s">
        <v>70</v>
      </c>
      <c r="C34" s="3">
        <f>'2026 Budget - Summary'!C34/12*5</f>
        <v>6077.5</v>
      </c>
      <c r="D34" s="99">
        <f>_xlfn.XLOOKUP(B34,'2026 Budget - Detail'!$B$50:$B$113,'2026 Budget - Detail'!$S$50:$S$113,,)</f>
        <v>13336</v>
      </c>
      <c r="E34" s="194">
        <f t="shared" si="1"/>
        <v>-7258.5</v>
      </c>
      <c r="F34" s="3"/>
    </row>
    <row r="35" spans="2:8" x14ac:dyDescent="0.3">
      <c r="B35" t="s">
        <v>74</v>
      </c>
      <c r="C35" s="3">
        <f>'2026 Budget - Summary'!C35/12*5</f>
        <v>130877.29166666666</v>
      </c>
      <c r="D35" s="99">
        <f>_xlfn.XLOOKUP(B35,'2026 Budget - Detail'!$B$50:$B$113,'2026 Budget - Detail'!$S$50:$S$113,,)</f>
        <v>364604</v>
      </c>
      <c r="E35" s="194">
        <f t="shared" si="1"/>
        <v>-233726.70833333334</v>
      </c>
      <c r="F35" s="3"/>
    </row>
    <row r="36" spans="2:8" x14ac:dyDescent="0.3">
      <c r="B36" s="169" t="s">
        <v>75</v>
      </c>
      <c r="C36" s="107">
        <f>'2026 Budget - Summary'!C36/12*5</f>
        <v>5322.0833333333339</v>
      </c>
      <c r="D36" s="108">
        <f>_xlfn.XLOOKUP(B36,'2026 Budget - Detail'!$B$50:$B$113,'2026 Budget - Detail'!$S$50:$S$113,,)</f>
        <v>7773</v>
      </c>
      <c r="E36" s="194">
        <f t="shared" si="1"/>
        <v>-2450.9166666666661</v>
      </c>
      <c r="F36" s="3"/>
    </row>
    <row r="37" spans="2:8" x14ac:dyDescent="0.3">
      <c r="B37" t="s">
        <v>78</v>
      </c>
      <c r="C37" s="3">
        <f>'2026 Budget - Summary'!C37/12*5</f>
        <v>2083.3333333333335</v>
      </c>
      <c r="D37" s="99">
        <f>_xlfn.XLOOKUP(B37,'2026 Budget - Detail'!$B$50:$B$113,'2026 Budget - Detail'!$S$50:$S$113,,)</f>
        <v>5000</v>
      </c>
      <c r="E37" s="194">
        <f t="shared" si="1"/>
        <v>-2916.6666666666665</v>
      </c>
      <c r="F37" s="3"/>
    </row>
    <row r="38" spans="2:8" x14ac:dyDescent="0.3">
      <c r="B38" t="s">
        <v>83</v>
      </c>
      <c r="C38" s="3">
        <f>'2026 Budget - Summary'!C38/12*5</f>
        <v>15124.166666666668</v>
      </c>
      <c r="D38" s="99">
        <f>_xlfn.XLOOKUP(B38,'2026 Budget - Detail'!$B$50:$B$113,'2026 Budget - Detail'!$S$50:$S$113,,)</f>
        <v>17898</v>
      </c>
      <c r="E38" s="194">
        <f t="shared" si="1"/>
        <v>-2773.8333333333321</v>
      </c>
      <c r="F38" s="3"/>
    </row>
    <row r="39" spans="2:8" x14ac:dyDescent="0.3">
      <c r="B39" t="s">
        <v>88</v>
      </c>
      <c r="C39" s="3">
        <f>'2026 Budget - Summary'!C39/12*5</f>
        <v>4039.166666666667</v>
      </c>
      <c r="D39" s="99">
        <f>_xlfn.XLOOKUP(B39,'2026 Budget - Detail'!$B$50:$B$113,'2026 Budget - Detail'!$S$50:$S$113,,)</f>
        <v>4694</v>
      </c>
      <c r="E39" s="194">
        <f t="shared" si="1"/>
        <v>-654.83333333333303</v>
      </c>
      <c r="F39" s="3"/>
    </row>
    <row r="40" spans="2:8" x14ac:dyDescent="0.3">
      <c r="B40" t="s">
        <v>90</v>
      </c>
      <c r="C40" s="3">
        <f>'2026 Budget - Summary'!C40/12*5</f>
        <v>0</v>
      </c>
      <c r="D40" s="99">
        <f>_xlfn.XLOOKUP(B40,'2026 Budget - Detail'!$B$50:$B$113,'2026 Budget - Detail'!$S$50:$S$113,,)</f>
        <v>0</v>
      </c>
      <c r="E40" s="194">
        <f t="shared" si="1"/>
        <v>0</v>
      </c>
      <c r="F40" s="3"/>
    </row>
    <row r="41" spans="2:8" ht="15" thickBot="1" x14ac:dyDescent="0.35">
      <c r="B41" s="120" t="s">
        <v>166</v>
      </c>
      <c r="C41" s="166">
        <f>SUM(C26:C40)</f>
        <v>738710.55458333332</v>
      </c>
      <c r="D41" s="186">
        <f>SUM(D26:D40)</f>
        <v>1729580.5764937501</v>
      </c>
      <c r="E41" s="196">
        <f>SUM(E26:E40)</f>
        <v>-990870.02191041678</v>
      </c>
      <c r="F41" s="3"/>
    </row>
    <row r="42" spans="2:8" s="119" customFormat="1" ht="15" hidden="1" thickTop="1" x14ac:dyDescent="0.3">
      <c r="B42" s="171" t="s">
        <v>173</v>
      </c>
      <c r="C42" s="172"/>
      <c r="D42" s="187">
        <f>'Budget APPR w FIXES and ADJ'!R100</f>
        <v>1721807.5764937503</v>
      </c>
      <c r="E42" s="200"/>
      <c r="F42" s="174"/>
      <c r="G42" s="174"/>
      <c r="H42" s="174"/>
    </row>
    <row r="43" spans="2:8" s="119" customFormat="1" hidden="1" x14ac:dyDescent="0.3">
      <c r="B43" s="176" t="s">
        <v>174</v>
      </c>
      <c r="C43" s="177"/>
      <c r="D43" s="190">
        <f t="shared" ref="D43" si="2">D41-D42</f>
        <v>7772.9999999997672</v>
      </c>
      <c r="E43" s="200"/>
      <c r="F43" s="174"/>
      <c r="G43" s="174"/>
      <c r="H43" s="174"/>
    </row>
    <row r="44" spans="2:8" ht="15" thickTop="1" x14ac:dyDescent="0.3">
      <c r="D44" s="185"/>
      <c r="E44" s="193"/>
    </row>
    <row r="45" spans="2:8" ht="15" thickBot="1" x14ac:dyDescent="0.35">
      <c r="B45" s="120" t="s">
        <v>133</v>
      </c>
      <c r="C45" s="170">
        <f>C20-C41</f>
        <v>-35532.221250000177</v>
      </c>
      <c r="D45" s="191">
        <f t="shared" ref="D45:E45" si="3">D20-D41</f>
        <v>-39552.576493750094</v>
      </c>
      <c r="E45" s="201">
        <f t="shared" si="3"/>
        <v>4020.3552437499166</v>
      </c>
    </row>
    <row r="46" spans="2:8" ht="15" thickTop="1" x14ac:dyDescent="0.3"/>
  </sheetData>
  <mergeCells count="1">
    <mergeCell ref="G6:H6"/>
  </mergeCells>
  <phoneticPr fontId="2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7862-BD02-4995-99BD-88D87A476099}">
  <sheetPr>
    <tabColor theme="4" tint="0.59999389629810485"/>
  </sheetPr>
  <dimension ref="B2:H46"/>
  <sheetViews>
    <sheetView topLeftCell="A19" workbookViewId="0">
      <selection activeCell="D10" sqref="D10"/>
    </sheetView>
  </sheetViews>
  <sheetFormatPr defaultRowHeight="14.4" x14ac:dyDescent="0.3"/>
  <cols>
    <col min="2" max="2" width="29.44140625" bestFit="1" customWidth="1"/>
    <col min="3" max="8" width="14.33203125" style="161" customWidth="1"/>
  </cols>
  <sheetData>
    <row r="2" spans="2:8" x14ac:dyDescent="0.3">
      <c r="B2" s="180" t="s">
        <v>175</v>
      </c>
      <c r="C2" s="181"/>
      <c r="D2" s="179"/>
      <c r="E2" s="179"/>
      <c r="F2" s="179"/>
    </row>
    <row r="3" spans="2:8" x14ac:dyDescent="0.3">
      <c r="B3" s="183" t="s">
        <v>183</v>
      </c>
      <c r="C3" s="182"/>
      <c r="D3" s="178"/>
      <c r="E3" s="178"/>
      <c r="F3" s="178"/>
    </row>
    <row r="4" spans="2:8" x14ac:dyDescent="0.3">
      <c r="B4" s="206"/>
      <c r="C4" s="207"/>
    </row>
    <row r="6" spans="2:8" x14ac:dyDescent="0.3">
      <c r="G6" s="232" t="s">
        <v>180</v>
      </c>
      <c r="H6" s="232"/>
    </row>
    <row r="7" spans="2:8" s="202" customFormat="1" x14ac:dyDescent="0.3">
      <c r="C7" s="203" t="s">
        <v>170</v>
      </c>
      <c r="D7" s="204" t="s">
        <v>171</v>
      </c>
      <c r="E7" s="205" t="s">
        <v>174</v>
      </c>
      <c r="F7" s="208" t="s">
        <v>179</v>
      </c>
      <c r="G7" s="203" t="s">
        <v>177</v>
      </c>
      <c r="H7" s="203" t="s">
        <v>178</v>
      </c>
    </row>
    <row r="8" spans="2:8" x14ac:dyDescent="0.3">
      <c r="B8" s="163" t="s">
        <v>162</v>
      </c>
      <c r="C8" s="164"/>
      <c r="D8" s="184"/>
      <c r="E8" s="192"/>
      <c r="F8" s="164"/>
    </row>
    <row r="9" spans="2:8" x14ac:dyDescent="0.3">
      <c r="D9" s="185"/>
      <c r="E9" s="193"/>
    </row>
    <row r="10" spans="2:8" x14ac:dyDescent="0.3">
      <c r="B10" t="s">
        <v>19</v>
      </c>
      <c r="C10" s="3">
        <f>'Budget APPR 12.2026 w FIXES'!R21</f>
        <v>340000</v>
      </c>
      <c r="D10" s="99">
        <f>_xlfn.XLOOKUP(B10,'2026 Budget - Detail'!$B$27:$B$41,'2026 Budget - Detail'!$S$27:$S$41,,)</f>
        <v>340000</v>
      </c>
      <c r="E10" s="194">
        <f>C10-D10</f>
        <v>0</v>
      </c>
      <c r="F10" s="3"/>
    </row>
    <row r="11" spans="2:8" x14ac:dyDescent="0.3">
      <c r="B11" t="s">
        <v>20</v>
      </c>
      <c r="C11" s="3">
        <f>'Budget APPR 12.2026 w FIXES'!R22</f>
        <v>1047450</v>
      </c>
      <c r="D11" s="99">
        <f>_xlfn.XLOOKUP(B11,'2026 Budget - Detail'!$B$27:$B$41,'2026 Budget - Detail'!$S$27:$S$41,,)</f>
        <v>1048950</v>
      </c>
      <c r="E11" s="194">
        <f t="shared" ref="E11:E18" si="0">C11-D11</f>
        <v>-1500</v>
      </c>
      <c r="F11" s="3"/>
    </row>
    <row r="12" spans="2:8" x14ac:dyDescent="0.3">
      <c r="B12" t="s">
        <v>21</v>
      </c>
      <c r="C12" s="3">
        <f>'Budget APPR 12.2026 w FIXES'!R24</f>
        <v>186100</v>
      </c>
      <c r="D12" s="99">
        <f>_xlfn.XLOOKUP(B12,'2026 Budget - Detail'!$B$27:$B$41,'2026 Budget - Detail'!$S$27:$S$41,,)</f>
        <v>186500</v>
      </c>
      <c r="E12" s="194">
        <f t="shared" si="0"/>
        <v>-400</v>
      </c>
      <c r="F12" s="3"/>
    </row>
    <row r="13" spans="2:8" x14ac:dyDescent="0.3">
      <c r="B13" t="s">
        <v>22</v>
      </c>
      <c r="C13" s="3">
        <f>'Budget APPR 12.2026 w FIXES'!R25</f>
        <v>7078</v>
      </c>
      <c r="D13" s="99">
        <f>_xlfn.XLOOKUP(B13,'2026 Budget - Detail'!$B$27:$B$41,'2026 Budget - Detail'!$S$27:$S$41,,)</f>
        <v>7078</v>
      </c>
      <c r="E13" s="194">
        <f t="shared" si="0"/>
        <v>0</v>
      </c>
      <c r="F13" s="3"/>
    </row>
    <row r="14" spans="2:8" x14ac:dyDescent="0.3">
      <c r="B14" t="s">
        <v>23</v>
      </c>
      <c r="C14" s="3">
        <f>'Budget APPR 12.2026 w FIXES'!R26</f>
        <v>4000</v>
      </c>
      <c r="D14" s="99">
        <f>_xlfn.XLOOKUP(B14,'2026 Budget - Detail'!$B$27:$B$41,'2026 Budget - Detail'!$S$27:$S$41,,)</f>
        <v>2500</v>
      </c>
      <c r="E14" s="194">
        <f t="shared" si="0"/>
        <v>1500</v>
      </c>
      <c r="F14" s="3"/>
    </row>
    <row r="15" spans="2:8" x14ac:dyDescent="0.3">
      <c r="B15" t="s">
        <v>24</v>
      </c>
      <c r="C15" s="3">
        <f>'Budget APPR 12.2026 w FIXES'!R28</f>
        <v>45000</v>
      </c>
      <c r="D15" s="99">
        <f>_xlfn.XLOOKUP(B15,'2026 Budget - Detail'!$B$27:$B$41,'2026 Budget - Detail'!$S$27:$S$41,,)</f>
        <v>47000</v>
      </c>
      <c r="E15" s="194">
        <f t="shared" si="0"/>
        <v>-2000</v>
      </c>
      <c r="F15" s="3"/>
    </row>
    <row r="16" spans="2:8" x14ac:dyDescent="0.3">
      <c r="B16" t="s">
        <v>25</v>
      </c>
      <c r="C16" s="3">
        <f>'Budget APPR 12.2026 w FIXES'!R29</f>
        <v>25000</v>
      </c>
      <c r="D16" s="99">
        <f>_xlfn.XLOOKUP(B16,'2026 Budget - Detail'!$B$27:$B$41,'2026 Budget - Detail'!$S$27:$S$41,,)</f>
        <v>25000</v>
      </c>
      <c r="E16" s="194">
        <f t="shared" si="0"/>
        <v>0</v>
      </c>
      <c r="F16" s="3"/>
    </row>
    <row r="17" spans="2:8" x14ac:dyDescent="0.3">
      <c r="B17" t="s">
        <v>26</v>
      </c>
      <c r="C17" s="3">
        <f>'Budget APPR 12.2026 w FIXES'!R31</f>
        <v>3000</v>
      </c>
      <c r="D17" s="99">
        <f>_xlfn.XLOOKUP(B17,'2026 Budget - Detail'!$B$27:$B$41,'2026 Budget - Detail'!$S$27:$S$41,,)</f>
        <v>3000</v>
      </c>
      <c r="E17" s="194">
        <f t="shared" si="0"/>
        <v>0</v>
      </c>
      <c r="F17" s="3"/>
    </row>
    <row r="18" spans="2:8" x14ac:dyDescent="0.3">
      <c r="B18" t="s">
        <v>27</v>
      </c>
      <c r="C18" s="3">
        <f>'Budget APPR 12.2026 w FIXES'!R32</f>
        <v>30000</v>
      </c>
      <c r="D18" s="99">
        <f>_xlfn.XLOOKUP(B18,'2026 Budget - Detail'!$B$27:$B$41,'2026 Budget - Detail'!$S$27:$S$41,,)</f>
        <v>30000</v>
      </c>
      <c r="E18" s="194">
        <f t="shared" si="0"/>
        <v>0</v>
      </c>
      <c r="F18" s="3"/>
    </row>
    <row r="19" spans="2:8" x14ac:dyDescent="0.3">
      <c r="B19" t="s">
        <v>172</v>
      </c>
      <c r="C19" s="3"/>
      <c r="D19" s="99"/>
      <c r="E19" s="195"/>
      <c r="F19" s="3"/>
    </row>
    <row r="20" spans="2:8" ht="15" thickBot="1" x14ac:dyDescent="0.35">
      <c r="B20" s="120" t="s">
        <v>166</v>
      </c>
      <c r="C20" s="166">
        <f>SUM(C10:C19)</f>
        <v>1687628</v>
      </c>
      <c r="D20" s="186">
        <f>SUM(D10:D19)</f>
        <v>1690028</v>
      </c>
      <c r="E20" s="196">
        <f>SUM(E10:E19)</f>
        <v>-2400</v>
      </c>
      <c r="F20" s="166"/>
    </row>
    <row r="21" spans="2:8" s="119" customFormat="1" ht="15" thickTop="1" x14ac:dyDescent="0.3">
      <c r="B21" s="171" t="s">
        <v>173</v>
      </c>
      <c r="C21" s="172">
        <f>'Budget APPR 12.2026 w FIXES'!R33</f>
        <v>1687628</v>
      </c>
      <c r="D21" s="187">
        <f>'Budget APPR w FIXES and ADJ'!R33</f>
        <v>1690028</v>
      </c>
      <c r="E21" s="197"/>
      <c r="F21" s="173"/>
      <c r="G21" s="174"/>
      <c r="H21" s="174"/>
    </row>
    <row r="22" spans="2:8" s="119" customFormat="1" x14ac:dyDescent="0.3">
      <c r="B22" s="175" t="s">
        <v>174</v>
      </c>
      <c r="C22" s="173">
        <f>C20-C21</f>
        <v>0</v>
      </c>
      <c r="D22" s="149">
        <f>D20-D21</f>
        <v>0</v>
      </c>
      <c r="E22" s="197"/>
      <c r="F22" s="173"/>
      <c r="G22" s="174"/>
      <c r="H22" s="174"/>
    </row>
    <row r="23" spans="2:8" x14ac:dyDescent="0.3">
      <c r="B23" s="167"/>
      <c r="C23" s="168"/>
      <c r="D23" s="188"/>
      <c r="E23" s="198"/>
      <c r="F23" s="168"/>
    </row>
    <row r="24" spans="2:8" x14ac:dyDescent="0.3">
      <c r="B24" s="162" t="s">
        <v>167</v>
      </c>
      <c r="C24" s="165"/>
      <c r="D24" s="189"/>
      <c r="E24" s="199"/>
      <c r="F24" s="165"/>
    </row>
    <row r="25" spans="2:8" x14ac:dyDescent="0.3">
      <c r="C25" s="3"/>
      <c r="D25" s="99"/>
      <c r="E25" s="195"/>
      <c r="F25" s="3"/>
    </row>
    <row r="26" spans="2:8" x14ac:dyDescent="0.3">
      <c r="B26" t="s">
        <v>36</v>
      </c>
      <c r="C26" s="3">
        <f>_xlfn.XLOOKUP(B26,'Budget APPR 12.2026 w FIXES'!$A$21:$A$98,'Budget APPR 12.2026 w FIXES'!$R$21:$R$98,,)</f>
        <v>886717.34100000001</v>
      </c>
      <c r="D26" s="99">
        <f>_xlfn.XLOOKUP(B26,'2026 Budget - Detail'!$B$50:$B$113,'2026 Budget - Detail'!$S$50:$S$113,,)</f>
        <v>870732.29649374995</v>
      </c>
      <c r="E26" s="194">
        <f t="shared" ref="E26:E40" si="1">C26-D26</f>
        <v>15985.044506250066</v>
      </c>
      <c r="F26" s="3"/>
    </row>
    <row r="27" spans="2:8" x14ac:dyDescent="0.3">
      <c r="B27" t="s">
        <v>42</v>
      </c>
      <c r="C27" s="3">
        <f>_xlfn.XLOOKUP(B27,'Budget APPR 12.2026 w FIXES'!$A$21:$A$98,'Budget APPR 12.2026 w FIXES'!$R$21:$R$98,,)</f>
        <v>30468.959999999999</v>
      </c>
      <c r="D27" s="99">
        <f>_xlfn.XLOOKUP(B27,'2026 Budget - Detail'!$B$50:$B$113,'2026 Budget - Detail'!$S$50:$S$113,,)</f>
        <v>30468.959999999999</v>
      </c>
      <c r="E27" s="194">
        <f t="shared" si="1"/>
        <v>0</v>
      </c>
      <c r="F27" s="3"/>
    </row>
    <row r="28" spans="2:8" x14ac:dyDescent="0.3">
      <c r="B28" t="s">
        <v>46</v>
      </c>
      <c r="C28" s="3">
        <f>_xlfn.XLOOKUP(B28,'Budget APPR 12.2026 w FIXES'!$A$21:$A$98,'Budget APPR 12.2026 w FIXES'!$R$21:$R$98,,)</f>
        <v>16080</v>
      </c>
      <c r="D28" s="99">
        <f>_xlfn.XLOOKUP(B28,'2026 Budget - Detail'!$B$50:$B$113,'2026 Budget - Detail'!$S$50:$S$113,,)</f>
        <v>16080</v>
      </c>
      <c r="E28" s="194">
        <f t="shared" si="1"/>
        <v>0</v>
      </c>
      <c r="F28" s="3"/>
    </row>
    <row r="29" spans="2:8" x14ac:dyDescent="0.3">
      <c r="B29" t="s">
        <v>51</v>
      </c>
      <c r="C29" s="3">
        <f>_xlfn.XLOOKUP(B29,'Budget APPR 12.2026 w FIXES'!$A$21:$A$98,'Budget APPR 12.2026 w FIXES'!$R$21:$R$98,,)</f>
        <v>172000</v>
      </c>
      <c r="D29" s="99">
        <f>_xlfn.XLOOKUP(B29,'2026 Budget - Detail'!$B$50:$B$113,'2026 Budget - Detail'!$S$50:$S$113,,)</f>
        <v>139300</v>
      </c>
      <c r="E29" s="194">
        <f t="shared" si="1"/>
        <v>32700</v>
      </c>
      <c r="F29" s="3"/>
    </row>
    <row r="30" spans="2:8" x14ac:dyDescent="0.3">
      <c r="B30" t="s">
        <v>54</v>
      </c>
      <c r="C30" s="3">
        <f>_xlfn.XLOOKUP(B30,'Budget APPR 12.2026 w FIXES'!$A$21:$A$98,'Budget APPR 12.2026 w FIXES'!$R$21:$R$98,,)</f>
        <v>39768.21</v>
      </c>
      <c r="D30" s="99">
        <f>_xlfn.XLOOKUP(B30,'2026 Budget - Detail'!$B$50:$B$113,'2026 Budget - Detail'!$S$50:$S$113,,)</f>
        <v>44280</v>
      </c>
      <c r="E30" s="194">
        <f t="shared" si="1"/>
        <v>-4511.7900000000009</v>
      </c>
      <c r="F30" s="3"/>
    </row>
    <row r="31" spans="2:8" x14ac:dyDescent="0.3">
      <c r="B31" t="s">
        <v>57</v>
      </c>
      <c r="C31" s="3">
        <f>_xlfn.XLOOKUP(B31,'Budget APPR 12.2026 w FIXES'!$A$21:$A$98,'Budget APPR 12.2026 w FIXES'!$R$21:$R$98,,)</f>
        <v>77000</v>
      </c>
      <c r="D31" s="99">
        <f>_xlfn.XLOOKUP(B31,'2026 Budget - Detail'!$B$50:$B$113,'2026 Budget - Detail'!$S$50:$S$113,,)</f>
        <v>57000</v>
      </c>
      <c r="E31" s="194">
        <f t="shared" si="1"/>
        <v>20000</v>
      </c>
      <c r="F31" s="3"/>
    </row>
    <row r="32" spans="2:8" x14ac:dyDescent="0.3">
      <c r="B32" t="s">
        <v>108</v>
      </c>
      <c r="C32" s="3">
        <f>_xlfn.XLOOKUP(B32,'Budget APPR 12.2026 w FIXES'!$A$21:$A$98,'Budget APPR 12.2026 w FIXES'!$R$21:$R$98,,)</f>
        <v>60000</v>
      </c>
      <c r="D32" s="99">
        <f>_xlfn.XLOOKUP(B32,'2026 Budget - Detail'!$B$50:$B$113,'2026 Budget - Detail'!$S$50:$S$113,,)</f>
        <v>60000</v>
      </c>
      <c r="E32" s="194">
        <f t="shared" si="1"/>
        <v>0</v>
      </c>
      <c r="F32" s="3"/>
    </row>
    <row r="33" spans="2:8" x14ac:dyDescent="0.3">
      <c r="B33" t="s">
        <v>65</v>
      </c>
      <c r="C33" s="3">
        <f>_xlfn.XLOOKUP(B33,'Budget APPR 12.2026 w FIXES'!$A$21:$A$98,'Budget APPR 12.2026 w FIXES'!$R$21:$R$98,,)</f>
        <v>98414.319999999992</v>
      </c>
      <c r="D33" s="99">
        <f>_xlfn.XLOOKUP(B33,'2026 Budget - Detail'!$B$50:$B$113,'2026 Budget - Detail'!$S$50:$S$113,,)</f>
        <v>98414.319999999992</v>
      </c>
      <c r="E33" s="194">
        <f t="shared" si="1"/>
        <v>0</v>
      </c>
      <c r="F33" s="3"/>
    </row>
    <row r="34" spans="2:8" x14ac:dyDescent="0.3">
      <c r="B34" t="s">
        <v>70</v>
      </c>
      <c r="C34" s="3">
        <f>_xlfn.XLOOKUP(B34,'Budget APPR 12.2026 w FIXES'!$A$21:$A$98,'Budget APPR 12.2026 w FIXES'!$R$21:$R$98,,)</f>
        <v>14586</v>
      </c>
      <c r="D34" s="99">
        <f>_xlfn.XLOOKUP(B34,'2026 Budget - Detail'!$B$50:$B$113,'2026 Budget - Detail'!$S$50:$S$113,,)</f>
        <v>13336</v>
      </c>
      <c r="E34" s="194">
        <f t="shared" si="1"/>
        <v>1250</v>
      </c>
      <c r="F34" s="3"/>
    </row>
    <row r="35" spans="2:8" x14ac:dyDescent="0.3">
      <c r="B35" t="s">
        <v>74</v>
      </c>
      <c r="C35" s="3">
        <f>_xlfn.XLOOKUP(B35,'Budget APPR 12.2026 w FIXES'!$A$21:$A$98,'Budget APPR 12.2026 w FIXES'!$R$21:$R$98,,)</f>
        <v>314105.5</v>
      </c>
      <c r="D35" s="99">
        <f>_xlfn.XLOOKUP(B35,'2026 Budget - Detail'!$B$50:$B$113,'2026 Budget - Detail'!$S$50:$S$113,,)</f>
        <v>364604</v>
      </c>
      <c r="E35" s="194">
        <f t="shared" si="1"/>
        <v>-50498.5</v>
      </c>
      <c r="F35" s="3"/>
    </row>
    <row r="36" spans="2:8" x14ac:dyDescent="0.3">
      <c r="B36" s="213" t="s">
        <v>75</v>
      </c>
      <c r="C36" s="214">
        <f>_xlfn.XLOOKUP(B36,'Budget APPR 12.2026 w FIXES'!$A$21:$A$98,'Budget APPR 12.2026 w FIXES'!$R$21:$R$98,,)</f>
        <v>12773</v>
      </c>
      <c r="D36" s="215">
        <f>_xlfn.XLOOKUP(B36,'2026 Budget - Detail'!$B$50:$B$113,'2026 Budget - Detail'!$S$50:$S$113,,)</f>
        <v>7773</v>
      </c>
      <c r="E36" s="194">
        <f t="shared" si="1"/>
        <v>5000</v>
      </c>
      <c r="F36" s="3"/>
    </row>
    <row r="37" spans="2:8" x14ac:dyDescent="0.3">
      <c r="B37" t="s">
        <v>78</v>
      </c>
      <c r="C37" s="3">
        <f>_xlfn.XLOOKUP(B37,'Budget APPR 12.2026 w FIXES'!$A$21:$A$98,'Budget APPR 12.2026 w FIXES'!$R$21:$R$98,,)</f>
        <v>5000</v>
      </c>
      <c r="D37" s="99">
        <f>_xlfn.XLOOKUP(B37,'2026 Budget - Detail'!$B$50:$B$113,'2026 Budget - Detail'!$S$50:$S$113,,)</f>
        <v>5000</v>
      </c>
      <c r="E37" s="194">
        <f t="shared" si="1"/>
        <v>0</v>
      </c>
      <c r="F37" s="3"/>
    </row>
    <row r="38" spans="2:8" x14ac:dyDescent="0.3">
      <c r="B38" t="s">
        <v>83</v>
      </c>
      <c r="C38" s="3">
        <f>_xlfn.XLOOKUP(B38,'Budget APPR 12.2026 w FIXES'!$A$21:$A$98,'Budget APPR 12.2026 w FIXES'!$R$21:$R$98,,)</f>
        <v>36298</v>
      </c>
      <c r="D38" s="99">
        <f>_xlfn.XLOOKUP(B38,'2026 Budget - Detail'!$B$50:$B$113,'2026 Budget - Detail'!$S$50:$S$113,,)</f>
        <v>17898</v>
      </c>
      <c r="E38" s="194">
        <f t="shared" si="1"/>
        <v>18400</v>
      </c>
      <c r="F38" s="3"/>
    </row>
    <row r="39" spans="2:8" x14ac:dyDescent="0.3">
      <c r="B39" t="s">
        <v>88</v>
      </c>
      <c r="C39" s="3">
        <f>_xlfn.XLOOKUP(B39,'Budget APPR 12.2026 w FIXES'!$A$21:$A$98,'Budget APPR 12.2026 w FIXES'!$R$21:$R$98,,)</f>
        <v>9694</v>
      </c>
      <c r="D39" s="99">
        <f>_xlfn.XLOOKUP(B39,'2026 Budget - Detail'!$B$50:$B$113,'2026 Budget - Detail'!$S$50:$S$113,,)</f>
        <v>4694</v>
      </c>
      <c r="E39" s="194">
        <f t="shared" si="1"/>
        <v>5000</v>
      </c>
      <c r="F39" s="3"/>
    </row>
    <row r="40" spans="2:8" x14ac:dyDescent="0.3">
      <c r="B40" t="s">
        <v>90</v>
      </c>
      <c r="C40" s="3">
        <f>_xlfn.XLOOKUP(B40,'Budget APPR 12.2026 w FIXES'!$A$21:$A$98,'Budget APPR 12.2026 w FIXES'!$R$21:$R$98,,)</f>
        <v>0</v>
      </c>
      <c r="D40" s="99">
        <f>_xlfn.XLOOKUP(B40,'2026 Budget - Detail'!$B$50:$B$113,'2026 Budget - Detail'!$S$50:$S$113,,)</f>
        <v>0</v>
      </c>
      <c r="E40" s="194">
        <f t="shared" si="1"/>
        <v>0</v>
      </c>
      <c r="F40" s="3"/>
    </row>
    <row r="41" spans="2:8" ht="15" thickBot="1" x14ac:dyDescent="0.35">
      <c r="B41" s="120" t="s">
        <v>166</v>
      </c>
      <c r="C41" s="166">
        <f>SUM(C26:C40)</f>
        <v>1772905.331</v>
      </c>
      <c r="D41" s="186">
        <f>SUM(D26:D40)</f>
        <v>1729580.5764937501</v>
      </c>
      <c r="E41" s="196">
        <f>SUM(E26:E40)</f>
        <v>43324.754506250065</v>
      </c>
      <c r="F41" s="3"/>
    </row>
    <row r="42" spans="2:8" s="119" customFormat="1" ht="15" thickTop="1" x14ac:dyDescent="0.3">
      <c r="B42" s="171" t="s">
        <v>173</v>
      </c>
      <c r="C42" s="172">
        <f>'Budget APPR 12.2026 w FIXES'!R99</f>
        <v>1760132.331</v>
      </c>
      <c r="D42" s="187">
        <f>'Budget APPR w FIXES and ADJ'!R100</f>
        <v>1721807.5764937503</v>
      </c>
      <c r="E42" s="200"/>
      <c r="F42" s="174"/>
      <c r="G42" s="174"/>
      <c r="H42" s="174"/>
    </row>
    <row r="43" spans="2:8" s="119" customFormat="1" x14ac:dyDescent="0.3">
      <c r="B43" s="216" t="s">
        <v>174</v>
      </c>
      <c r="C43" s="217">
        <f t="shared" ref="C43:D43" si="2">C41-C42</f>
        <v>12773</v>
      </c>
      <c r="D43" s="218">
        <f t="shared" si="2"/>
        <v>7772.9999999997672</v>
      </c>
      <c r="E43" s="200"/>
      <c r="F43" s="174"/>
      <c r="G43" s="174"/>
      <c r="H43" s="174"/>
    </row>
    <row r="44" spans="2:8" x14ac:dyDescent="0.3">
      <c r="D44" s="185"/>
      <c r="E44" s="193"/>
    </row>
    <row r="45" spans="2:8" ht="15" thickBot="1" x14ac:dyDescent="0.35">
      <c r="B45" s="120" t="s">
        <v>133</v>
      </c>
      <c r="C45" s="170">
        <f>C20-C41</f>
        <v>-85277.331000000006</v>
      </c>
      <c r="D45" s="191">
        <f t="shared" ref="D45:E45" si="3">D20-D41</f>
        <v>-39552.576493750094</v>
      </c>
      <c r="E45" s="201">
        <f t="shared" si="3"/>
        <v>-45724.754506250065</v>
      </c>
    </row>
    <row r="46" spans="2:8" ht="15" thickTop="1" x14ac:dyDescent="0.3"/>
  </sheetData>
  <mergeCells count="1">
    <mergeCell ref="G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D117-85AA-4151-87C9-595B3ABEE194}">
  <sheetPr>
    <tabColor theme="4" tint="0.59999389629810485"/>
    <pageSetUpPr fitToPage="1"/>
  </sheetPr>
  <dimension ref="B3:X123"/>
  <sheetViews>
    <sheetView tabSelected="1" topLeftCell="M93" workbookViewId="0">
      <selection activeCell="S118" sqref="S118"/>
    </sheetView>
  </sheetViews>
  <sheetFormatPr defaultRowHeight="14.4" outlineLevelRow="1" x14ac:dyDescent="0.3"/>
  <cols>
    <col min="2" max="2" width="29.6640625" customWidth="1"/>
    <col min="3" max="3" width="14.88671875" customWidth="1"/>
    <col min="4" max="4" width="13" hidden="1" customWidth="1"/>
    <col min="5" max="18" width="13.109375" customWidth="1"/>
    <col min="19" max="19" width="27.5546875" customWidth="1"/>
    <col min="20" max="20" width="19.88671875" hidden="1" customWidth="1"/>
    <col min="21" max="21" width="19.88671875" customWidth="1"/>
    <col min="22" max="22" width="14.6640625" hidden="1" customWidth="1"/>
    <col min="23" max="23" width="10.109375" customWidth="1"/>
    <col min="24" max="24" width="65.44140625" customWidth="1"/>
  </cols>
  <sheetData>
    <row r="3" spans="2:24" x14ac:dyDescent="0.3">
      <c r="B3" s="241" t="s">
        <v>168</v>
      </c>
      <c r="C3" s="241"/>
      <c r="D3" s="241"/>
      <c r="E3" s="94"/>
      <c r="F3" s="57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236" t="s">
        <v>120</v>
      </c>
      <c r="T3" s="95"/>
      <c r="U3" s="95"/>
      <c r="V3" s="238" t="s">
        <v>121</v>
      </c>
      <c r="W3" s="230" t="s">
        <v>135</v>
      </c>
    </row>
    <row r="4" spans="2:24" s="111" customFormat="1" ht="56.25" customHeight="1" thickBot="1" x14ac:dyDescent="0.35">
      <c r="E4" s="110" t="s">
        <v>119</v>
      </c>
      <c r="F4" s="112" t="s">
        <v>118</v>
      </c>
      <c r="G4" s="110" t="s">
        <v>116</v>
      </c>
      <c r="H4" s="110" t="s">
        <v>117</v>
      </c>
      <c r="I4" s="110" t="s">
        <v>0</v>
      </c>
      <c r="J4" s="110" t="s">
        <v>1</v>
      </c>
      <c r="K4" s="110" t="s">
        <v>113</v>
      </c>
      <c r="L4" s="110" t="s">
        <v>3</v>
      </c>
      <c r="M4" s="110" t="s">
        <v>4</v>
      </c>
      <c r="N4" s="110" t="s">
        <v>5</v>
      </c>
      <c r="O4" s="110" t="s">
        <v>6</v>
      </c>
      <c r="P4" s="110" t="s">
        <v>114</v>
      </c>
      <c r="Q4" s="110" t="s">
        <v>115</v>
      </c>
      <c r="R4" s="110" t="s">
        <v>7</v>
      </c>
      <c r="S4" s="237"/>
      <c r="T4" s="96" t="s">
        <v>122</v>
      </c>
      <c r="U4" s="96" t="s">
        <v>123</v>
      </c>
      <c r="V4" s="239"/>
      <c r="W4" s="231"/>
    </row>
    <row r="5" spans="2:24" x14ac:dyDescent="0.3">
      <c r="C5" s="44"/>
      <c r="D5" s="4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99"/>
      <c r="T5" s="99"/>
      <c r="U5" s="99"/>
      <c r="V5" s="8"/>
      <c r="W5" s="9"/>
      <c r="X5" s="77"/>
    </row>
    <row r="6" spans="2:24" x14ac:dyDescent="0.3">
      <c r="B6" s="126" t="s">
        <v>161</v>
      </c>
      <c r="C6" s="124"/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77"/>
    </row>
    <row r="7" spans="2:24" hidden="1" outlineLevel="1" x14ac:dyDescent="0.3">
      <c r="B7" t="s">
        <v>8</v>
      </c>
      <c r="C7" t="s">
        <v>109</v>
      </c>
      <c r="D7" s="1" t="s">
        <v>110</v>
      </c>
      <c r="S7" s="97"/>
      <c r="T7" s="97"/>
      <c r="U7" s="97"/>
      <c r="V7" s="98"/>
      <c r="W7" s="9"/>
    </row>
    <row r="8" spans="2:24" hidden="1" outlineLevel="1" x14ac:dyDescent="0.3">
      <c r="B8" t="s">
        <v>9</v>
      </c>
      <c r="C8" s="44">
        <v>159960</v>
      </c>
      <c r="D8" s="44">
        <v>164500</v>
      </c>
      <c r="E8" s="3">
        <f>0.3*D8</f>
        <v>49350</v>
      </c>
      <c r="F8" s="3"/>
      <c r="G8" s="3"/>
      <c r="H8" s="3"/>
      <c r="I8" s="3">
        <f>0.075*D8</f>
        <v>12337.5</v>
      </c>
      <c r="J8" s="3">
        <f>0.275*D8</f>
        <v>45237.500000000007</v>
      </c>
      <c r="K8" s="3"/>
      <c r="L8" s="3"/>
      <c r="M8" s="3"/>
      <c r="N8" s="3"/>
      <c r="O8" s="3">
        <f>0.1*D8</f>
        <v>16450</v>
      </c>
      <c r="P8" s="3"/>
      <c r="Q8" s="3">
        <f>0.1*D8</f>
        <v>16450</v>
      </c>
      <c r="R8" s="3">
        <f>0.15*D8</f>
        <v>24675</v>
      </c>
      <c r="S8" s="99">
        <f t="shared" ref="S8:S16" si="0">SUM(E8:R8)</f>
        <v>164500</v>
      </c>
      <c r="T8" s="99"/>
      <c r="U8" s="99"/>
      <c r="V8" s="8"/>
      <c r="W8" s="9"/>
      <c r="X8" s="77"/>
    </row>
    <row r="9" spans="2:24" hidden="1" outlineLevel="1" x14ac:dyDescent="0.3">
      <c r="B9" t="s">
        <v>10</v>
      </c>
      <c r="C9" s="44">
        <v>69187.5</v>
      </c>
      <c r="D9" s="44">
        <v>75000</v>
      </c>
      <c r="E9" s="3"/>
      <c r="F9" s="3"/>
      <c r="G9" s="3">
        <f>0.6*D9</f>
        <v>45000</v>
      </c>
      <c r="H9" s="3"/>
      <c r="I9" s="3">
        <f>0.1*D9</f>
        <v>7500</v>
      </c>
      <c r="J9" s="3"/>
      <c r="K9" s="3"/>
      <c r="L9" s="3">
        <f>0.3*D9</f>
        <v>22500</v>
      </c>
      <c r="M9" s="3"/>
      <c r="N9" s="3"/>
      <c r="O9" s="3"/>
      <c r="P9" s="3"/>
      <c r="Q9" s="3"/>
      <c r="R9" s="3"/>
      <c r="S9" s="99">
        <f t="shared" si="0"/>
        <v>75000</v>
      </c>
      <c r="T9" s="99"/>
      <c r="U9" s="99"/>
      <c r="V9" s="8"/>
      <c r="W9" s="9"/>
      <c r="X9" s="77"/>
    </row>
    <row r="10" spans="2:24" hidden="1" outlineLevel="1" x14ac:dyDescent="0.3">
      <c r="B10" t="s">
        <v>111</v>
      </c>
      <c r="C10" s="44">
        <v>62000</v>
      </c>
      <c r="D10" s="44">
        <f>(1+(2/12*0.027))*C10</f>
        <v>62279</v>
      </c>
      <c r="E10" s="3"/>
      <c r="F10" s="3"/>
      <c r="G10" s="3">
        <f>0.7*D10</f>
        <v>43595.299999999996</v>
      </c>
      <c r="H10" s="3"/>
      <c r="I10" s="3"/>
      <c r="J10" s="3"/>
      <c r="K10" s="3"/>
      <c r="L10" s="3">
        <f>0.3*D10</f>
        <v>18683.7</v>
      </c>
      <c r="M10" s="3"/>
      <c r="N10" s="3"/>
      <c r="O10" s="3"/>
      <c r="P10" s="3"/>
      <c r="Q10" s="3"/>
      <c r="R10" s="3"/>
      <c r="S10" s="99">
        <f t="shared" si="0"/>
        <v>62279</v>
      </c>
      <c r="T10" s="99"/>
      <c r="U10" s="99"/>
      <c r="V10" s="8"/>
      <c r="W10" s="9"/>
      <c r="X10" s="77"/>
    </row>
    <row r="11" spans="2:24" hidden="1" outlineLevel="1" x14ac:dyDescent="0.3">
      <c r="B11" t="s">
        <v>11</v>
      </c>
      <c r="C11" s="44">
        <v>72500</v>
      </c>
      <c r="D11" s="44">
        <v>75000</v>
      </c>
      <c r="E11" s="3">
        <v>0</v>
      </c>
      <c r="F11" s="3"/>
      <c r="G11" s="3"/>
      <c r="H11" s="3">
        <f>0.15*D11</f>
        <v>11250</v>
      </c>
      <c r="I11" s="3"/>
      <c r="J11" s="3">
        <f>0.35*D11</f>
        <v>26250</v>
      </c>
      <c r="K11" s="3">
        <f>0.15*D11</f>
        <v>11250</v>
      </c>
      <c r="L11" s="3"/>
      <c r="M11" s="3"/>
      <c r="N11" s="3"/>
      <c r="O11" s="3">
        <f>0.05*D11</f>
        <v>3750</v>
      </c>
      <c r="P11" s="3">
        <f>0.2*D11</f>
        <v>15000</v>
      </c>
      <c r="Q11" s="3">
        <f>0.05*D11</f>
        <v>3750</v>
      </c>
      <c r="R11" s="3">
        <f>0.05*D11</f>
        <v>3750</v>
      </c>
      <c r="S11" s="99">
        <f t="shared" si="0"/>
        <v>75000</v>
      </c>
      <c r="T11" s="99"/>
      <c r="U11" s="99"/>
      <c r="V11" s="8"/>
      <c r="W11" s="9"/>
      <c r="X11" s="77"/>
    </row>
    <row r="12" spans="2:24" hidden="1" outlineLevel="1" x14ac:dyDescent="0.3">
      <c r="B12" t="s">
        <v>12</v>
      </c>
      <c r="C12" s="44">
        <v>61000</v>
      </c>
      <c r="D12" s="44">
        <v>61500</v>
      </c>
      <c r="E12" s="3"/>
      <c r="F12" s="3"/>
      <c r="G12" s="3"/>
      <c r="H12" s="3"/>
      <c r="I12" s="3">
        <f>0.95*D12*0.833</f>
        <v>48668.025000000001</v>
      </c>
      <c r="J12" s="3"/>
      <c r="K12" s="3"/>
      <c r="L12" s="3"/>
      <c r="M12" s="3"/>
      <c r="N12" s="3"/>
      <c r="O12" s="3">
        <f>0.05*D12*0.83</f>
        <v>2552.25</v>
      </c>
      <c r="P12" s="3"/>
      <c r="Q12" s="3"/>
      <c r="R12" s="3"/>
      <c r="S12" s="99">
        <f t="shared" si="0"/>
        <v>51220.275000000001</v>
      </c>
      <c r="T12" s="99"/>
      <c r="U12" s="99"/>
      <c r="V12" s="8"/>
      <c r="W12" s="9"/>
      <c r="X12" s="77"/>
    </row>
    <row r="13" spans="2:24" hidden="1" outlineLevel="1" x14ac:dyDescent="0.3">
      <c r="B13" t="s">
        <v>94</v>
      </c>
      <c r="C13" s="44">
        <v>61500</v>
      </c>
      <c r="D13" s="44">
        <v>63500</v>
      </c>
      <c r="E13" s="3">
        <f>0.85*D13</f>
        <v>53975</v>
      </c>
      <c r="F13" s="3"/>
      <c r="G13" s="3"/>
      <c r="H13" s="3"/>
      <c r="I13" s="3"/>
      <c r="J13" s="3">
        <f>0.15*D13</f>
        <v>9525</v>
      </c>
      <c r="K13" s="3"/>
      <c r="L13" s="3"/>
      <c r="M13" s="3"/>
      <c r="N13" s="3"/>
      <c r="O13" s="3"/>
      <c r="P13" s="3"/>
      <c r="Q13" s="3"/>
      <c r="R13" s="3"/>
      <c r="S13" s="99">
        <f t="shared" si="0"/>
        <v>63500</v>
      </c>
      <c r="T13" s="99"/>
      <c r="U13" s="99"/>
      <c r="V13" s="8"/>
      <c r="W13" s="9"/>
      <c r="X13" s="77"/>
    </row>
    <row r="14" spans="2:24" hidden="1" outlineLevel="1" x14ac:dyDescent="0.3">
      <c r="B14" t="s">
        <v>13</v>
      </c>
      <c r="C14" s="44">
        <v>66100.125</v>
      </c>
      <c r="D14" s="44">
        <v>69000</v>
      </c>
      <c r="E14" s="3"/>
      <c r="F14" s="3">
        <f>0.55*D14</f>
        <v>37950</v>
      </c>
      <c r="G14" s="3"/>
      <c r="H14" s="3"/>
      <c r="I14" s="3">
        <f>0.1*D14</f>
        <v>6900</v>
      </c>
      <c r="J14" s="3">
        <f>0.3*D14</f>
        <v>20700</v>
      </c>
      <c r="K14" s="3"/>
      <c r="L14" s="3"/>
      <c r="M14" s="3"/>
      <c r="N14" s="3"/>
      <c r="O14" s="3"/>
      <c r="P14" s="3"/>
      <c r="Q14" s="3">
        <f>0.05*D14</f>
        <v>3450</v>
      </c>
      <c r="R14" s="3"/>
      <c r="S14" s="99">
        <f t="shared" si="0"/>
        <v>69000</v>
      </c>
      <c r="T14" s="99"/>
      <c r="U14" s="99"/>
      <c r="V14" s="8"/>
      <c r="W14" s="9"/>
      <c r="X14" s="77"/>
    </row>
    <row r="15" spans="2:24" hidden="1" outlineLevel="1" x14ac:dyDescent="0.3">
      <c r="B15" t="s">
        <v>93</v>
      </c>
      <c r="C15" s="44">
        <v>61100</v>
      </c>
      <c r="D15" s="44">
        <v>62750</v>
      </c>
      <c r="E15" s="3"/>
      <c r="F15" s="3"/>
      <c r="G15" s="3"/>
      <c r="H15" s="3"/>
      <c r="I15" s="3"/>
      <c r="J15" s="3">
        <f>0.4*D15</f>
        <v>25100</v>
      </c>
      <c r="K15" s="3">
        <f>0.15*D15</f>
        <v>9412.5</v>
      </c>
      <c r="M15" s="3">
        <f>0.15*D15</f>
        <v>9412.5</v>
      </c>
      <c r="N15" s="3"/>
      <c r="O15" s="3"/>
      <c r="P15" s="3"/>
      <c r="Q15" s="3">
        <f>0.3*D15</f>
        <v>18825</v>
      </c>
      <c r="R15" s="3"/>
      <c r="S15" s="99">
        <f t="shared" si="0"/>
        <v>62750</v>
      </c>
      <c r="T15" s="99"/>
      <c r="U15" s="99"/>
      <c r="V15" s="8"/>
      <c r="W15" s="9"/>
      <c r="X15" s="77"/>
    </row>
    <row r="16" spans="2:24" hidden="1" outlineLevel="1" x14ac:dyDescent="0.3">
      <c r="B16" t="s">
        <v>112</v>
      </c>
      <c r="C16" s="44">
        <v>52000</v>
      </c>
      <c r="D16" s="45">
        <f>0.6*C16</f>
        <v>31200</v>
      </c>
      <c r="E16" s="80"/>
      <c r="F16" s="80"/>
      <c r="G16" s="80"/>
      <c r="H16" s="80"/>
      <c r="I16" s="80"/>
      <c r="J16" s="80"/>
      <c r="K16" s="80"/>
      <c r="L16" s="80"/>
      <c r="M16" s="80"/>
      <c r="N16" s="80">
        <f>D16</f>
        <v>31200</v>
      </c>
      <c r="O16" s="80"/>
      <c r="P16" s="80"/>
      <c r="Q16" s="80"/>
      <c r="R16" s="80"/>
      <c r="S16" s="100">
        <f t="shared" si="0"/>
        <v>31200</v>
      </c>
      <c r="T16" s="11"/>
      <c r="U16" s="8"/>
      <c r="V16" s="9"/>
      <c r="W16" s="9"/>
      <c r="X16" s="77"/>
    </row>
    <row r="17" spans="2:24" hidden="1" outlineLevel="1" x14ac:dyDescent="0.3">
      <c r="B17" t="s">
        <v>14</v>
      </c>
      <c r="D17" s="44">
        <f>SUM(D8:D16)</f>
        <v>664729</v>
      </c>
      <c r="E17" s="3">
        <f>SUM(E8:E16)</f>
        <v>103325</v>
      </c>
      <c r="F17" s="3">
        <f t="shared" ref="F17:R17" si="1">SUM(F8:F16)</f>
        <v>37950</v>
      </c>
      <c r="G17" s="3">
        <f t="shared" si="1"/>
        <v>88595.299999999988</v>
      </c>
      <c r="H17" s="3">
        <f t="shared" si="1"/>
        <v>11250</v>
      </c>
      <c r="I17" s="3">
        <f t="shared" si="1"/>
        <v>75405.524999999994</v>
      </c>
      <c r="J17" s="3">
        <f t="shared" si="1"/>
        <v>126812.5</v>
      </c>
      <c r="K17" s="3">
        <f t="shared" si="1"/>
        <v>20662.5</v>
      </c>
      <c r="L17" s="3">
        <f t="shared" si="1"/>
        <v>41183.699999999997</v>
      </c>
      <c r="M17" s="3">
        <f t="shared" si="1"/>
        <v>9412.5</v>
      </c>
      <c r="N17" s="3">
        <f t="shared" si="1"/>
        <v>31200</v>
      </c>
      <c r="O17" s="3">
        <f t="shared" si="1"/>
        <v>22752.25</v>
      </c>
      <c r="P17" s="3">
        <f t="shared" si="1"/>
        <v>15000</v>
      </c>
      <c r="Q17" s="3">
        <f t="shared" si="1"/>
        <v>42475</v>
      </c>
      <c r="R17" s="3">
        <f t="shared" si="1"/>
        <v>28425</v>
      </c>
      <c r="S17" s="99">
        <f>SUM(S8:S16)</f>
        <v>654449.27500000002</v>
      </c>
      <c r="T17" s="99"/>
      <c r="U17" s="99"/>
      <c r="V17" s="9"/>
      <c r="W17" s="9"/>
    </row>
    <row r="18" spans="2:24" hidden="1" outlineLevel="1" x14ac:dyDescent="0.3">
      <c r="B18" t="s">
        <v>15</v>
      </c>
      <c r="D18" s="45">
        <f>SUM(E18:J18)</f>
        <v>25200</v>
      </c>
      <c r="E18" s="80"/>
      <c r="F18" s="80">
        <f>20*20*38</f>
        <v>15200</v>
      </c>
      <c r="G18" s="80">
        <f>10*20*20</f>
        <v>4000</v>
      </c>
      <c r="H18" s="80"/>
      <c r="I18" s="80">
        <f>10*20*10</f>
        <v>2000</v>
      </c>
      <c r="J18" s="80">
        <f>10*20*20</f>
        <v>4000</v>
      </c>
      <c r="K18" s="80"/>
      <c r="L18" s="80"/>
      <c r="M18" s="80"/>
      <c r="N18" s="80"/>
      <c r="O18" s="80"/>
      <c r="P18" s="80"/>
      <c r="Q18" s="80"/>
      <c r="R18" s="80"/>
      <c r="S18" s="100">
        <f>SUM(E18:R18)</f>
        <v>25200</v>
      </c>
      <c r="T18" s="100"/>
      <c r="U18" s="100"/>
      <c r="V18" s="40"/>
      <c r="W18" s="9"/>
    </row>
    <row r="19" spans="2:24" hidden="1" outlineLevel="1" x14ac:dyDescent="0.3">
      <c r="D19" s="44">
        <f>D18+D17</f>
        <v>689929</v>
      </c>
      <c r="E19" s="3">
        <f t="shared" ref="E19:R19" si="2">E18+E17</f>
        <v>103325</v>
      </c>
      <c r="F19" s="3">
        <f t="shared" si="2"/>
        <v>53150</v>
      </c>
      <c r="G19" s="3">
        <f t="shared" si="2"/>
        <v>92595.299999999988</v>
      </c>
      <c r="H19" s="3">
        <f t="shared" si="2"/>
        <v>11250</v>
      </c>
      <c r="I19" s="3">
        <f t="shared" si="2"/>
        <v>77405.524999999994</v>
      </c>
      <c r="J19" s="3">
        <f t="shared" si="2"/>
        <v>130812.5</v>
      </c>
      <c r="K19" s="3">
        <f t="shared" si="2"/>
        <v>20662.5</v>
      </c>
      <c r="L19" s="3">
        <f t="shared" si="2"/>
        <v>41183.699999999997</v>
      </c>
      <c r="M19" s="3">
        <f t="shared" si="2"/>
        <v>9412.5</v>
      </c>
      <c r="N19" s="3">
        <f t="shared" si="2"/>
        <v>31200</v>
      </c>
      <c r="O19" s="3">
        <f t="shared" si="2"/>
        <v>22752.25</v>
      </c>
      <c r="P19" s="3">
        <f t="shared" si="2"/>
        <v>15000</v>
      </c>
      <c r="Q19" s="3">
        <f t="shared" si="2"/>
        <v>42475</v>
      </c>
      <c r="R19" s="3">
        <f t="shared" si="2"/>
        <v>28425</v>
      </c>
      <c r="S19" s="99">
        <f>S18+S17</f>
        <v>679649.27500000002</v>
      </c>
      <c r="T19" s="99"/>
      <c r="U19" s="99"/>
      <c r="V19" s="39">
        <v>711735.125</v>
      </c>
      <c r="W19" s="9"/>
    </row>
    <row r="20" spans="2:24" hidden="1" outlineLevel="1" x14ac:dyDescent="0.3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99"/>
      <c r="T20" s="99"/>
      <c r="U20" s="99"/>
      <c r="V20" s="39"/>
      <c r="W20" s="9"/>
    </row>
    <row r="21" spans="2:24" hidden="1" outlineLevel="1" x14ac:dyDescent="0.3">
      <c r="B21" t="s">
        <v>16</v>
      </c>
      <c r="D21" s="3">
        <f t="shared" ref="D21" si="3">0.16245*D17</f>
        <v>107985.22605000001</v>
      </c>
      <c r="E21" s="3">
        <f>0.16245*E17</f>
        <v>16785.146250000002</v>
      </c>
      <c r="F21" s="3">
        <f t="shared" ref="F21:R21" si="4">0.16245*F17</f>
        <v>6164.9775000000009</v>
      </c>
      <c r="G21" s="3">
        <f t="shared" si="4"/>
        <v>14392.306484999999</v>
      </c>
      <c r="H21" s="3">
        <f t="shared" si="4"/>
        <v>1827.5625000000002</v>
      </c>
      <c r="I21" s="3">
        <f t="shared" si="4"/>
        <v>12249.62753625</v>
      </c>
      <c r="J21" s="3">
        <f t="shared" si="4"/>
        <v>20600.690625000003</v>
      </c>
      <c r="K21" s="3">
        <f t="shared" si="4"/>
        <v>3356.6231250000001</v>
      </c>
      <c r="L21" s="3">
        <f t="shared" si="4"/>
        <v>6690.2920649999996</v>
      </c>
      <c r="M21" s="3">
        <f t="shared" si="4"/>
        <v>1529.0606250000001</v>
      </c>
      <c r="N21" s="3">
        <f t="shared" si="4"/>
        <v>5068.4400000000005</v>
      </c>
      <c r="O21" s="3">
        <f t="shared" si="4"/>
        <v>3696.1030125000002</v>
      </c>
      <c r="P21" s="3">
        <f t="shared" si="4"/>
        <v>2436.75</v>
      </c>
      <c r="Q21" s="3">
        <f t="shared" si="4"/>
        <v>6900.0637500000003</v>
      </c>
      <c r="R21" s="3">
        <f t="shared" si="4"/>
        <v>4617.6412500000006</v>
      </c>
      <c r="S21" s="8">
        <f>0.16245*S17</f>
        <v>106315.28472375001</v>
      </c>
      <c r="T21" s="3"/>
      <c r="U21" s="3"/>
      <c r="V21" s="39">
        <v>99993.681056250003</v>
      </c>
      <c r="W21" s="9"/>
    </row>
    <row r="22" spans="2:24" hidden="1" outlineLevel="1" x14ac:dyDescent="0.3">
      <c r="B22" t="s">
        <v>17</v>
      </c>
      <c r="D22" s="3">
        <f t="shared" ref="D22" si="5">0.0848*D19</f>
        <v>58505.979200000002</v>
      </c>
      <c r="E22" s="3">
        <f>0.0848*E19</f>
        <v>8761.9600000000009</v>
      </c>
      <c r="F22" s="3">
        <f t="shared" ref="F22:R22" si="6">0.0848*F19</f>
        <v>4507.12</v>
      </c>
      <c r="G22" s="3">
        <f t="shared" si="6"/>
        <v>7852.081439999999</v>
      </c>
      <c r="H22" s="3">
        <f t="shared" si="6"/>
        <v>954</v>
      </c>
      <c r="I22" s="3">
        <f t="shared" si="6"/>
        <v>6563.9885199999999</v>
      </c>
      <c r="J22" s="3">
        <f t="shared" si="6"/>
        <v>11092.9</v>
      </c>
      <c r="K22" s="3">
        <f t="shared" si="6"/>
        <v>1752.18</v>
      </c>
      <c r="L22" s="3">
        <f t="shared" si="6"/>
        <v>3492.3777599999999</v>
      </c>
      <c r="M22" s="3">
        <f t="shared" si="6"/>
        <v>798.18</v>
      </c>
      <c r="N22" s="3">
        <f t="shared" si="6"/>
        <v>2645.76</v>
      </c>
      <c r="O22" s="3">
        <f t="shared" si="6"/>
        <v>1929.3907999999999</v>
      </c>
      <c r="P22" s="3">
        <f t="shared" si="6"/>
        <v>1272</v>
      </c>
      <c r="Q22" s="3">
        <f t="shared" si="6"/>
        <v>3601.88</v>
      </c>
      <c r="R22" s="3">
        <f t="shared" si="6"/>
        <v>2410.44</v>
      </c>
      <c r="S22" s="8">
        <f>0.0848*S19</f>
        <v>57634.258520000003</v>
      </c>
      <c r="T22" s="3"/>
      <c r="U22" s="3"/>
      <c r="V22" s="39">
        <v>60355.138599999998</v>
      </c>
      <c r="W22" s="9"/>
    </row>
    <row r="23" spans="2:24" hidden="1" outlineLevel="1" x14ac:dyDescent="0.3">
      <c r="B23" t="s">
        <v>18</v>
      </c>
      <c r="D23" s="3">
        <f t="shared" ref="D23" si="7">D22+D21+D19</f>
        <v>856420.20525</v>
      </c>
      <c r="E23" s="3">
        <f>E22+E21+E19</f>
        <v>128872.10625000001</v>
      </c>
      <c r="F23" s="3">
        <f t="shared" ref="F23:S23" si="8">F22+F21+F19</f>
        <v>63822.097500000003</v>
      </c>
      <c r="G23" s="3">
        <f t="shared" si="8"/>
        <v>114839.68792499999</v>
      </c>
      <c r="H23" s="3">
        <f t="shared" si="8"/>
        <v>14031.5625</v>
      </c>
      <c r="I23" s="3">
        <f t="shared" si="8"/>
        <v>96219.141056249995</v>
      </c>
      <c r="J23" s="3">
        <f t="shared" si="8"/>
        <v>162506.09062500001</v>
      </c>
      <c r="K23" s="3">
        <f t="shared" si="8"/>
        <v>25771.303124999999</v>
      </c>
      <c r="L23" s="3">
        <f t="shared" si="8"/>
        <v>51366.369824999994</v>
      </c>
      <c r="M23" s="3">
        <f t="shared" si="8"/>
        <v>11739.740625</v>
      </c>
      <c r="N23" s="3">
        <f t="shared" si="8"/>
        <v>38914.199999999997</v>
      </c>
      <c r="O23" s="3">
        <f t="shared" si="8"/>
        <v>28377.743812500001</v>
      </c>
      <c r="P23" s="3">
        <f t="shared" si="8"/>
        <v>18708.75</v>
      </c>
      <c r="Q23" s="3">
        <f t="shared" si="8"/>
        <v>52976.943749999999</v>
      </c>
      <c r="R23" s="3">
        <f t="shared" si="8"/>
        <v>35453.081250000003</v>
      </c>
      <c r="S23" s="99">
        <f t="shared" si="8"/>
        <v>843598.81824375002</v>
      </c>
      <c r="T23" s="101"/>
      <c r="U23" s="101"/>
      <c r="V23" s="39">
        <v>872083.94465625007</v>
      </c>
      <c r="W23" s="9"/>
    </row>
    <row r="24" spans="2:24" collapsed="1" x14ac:dyDescent="0.3"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3"/>
      <c r="T24" s="103"/>
      <c r="U24" s="103"/>
      <c r="V24" s="10"/>
      <c r="W24" s="9"/>
    </row>
    <row r="25" spans="2:24" x14ac:dyDescent="0.3">
      <c r="B25" s="127" t="s">
        <v>162</v>
      </c>
      <c r="C25" s="124"/>
      <c r="D25" s="124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77"/>
    </row>
    <row r="26" spans="2:24" x14ac:dyDescent="0.3">
      <c r="D26" s="1"/>
      <c r="S26" s="97"/>
      <c r="T26" s="97"/>
      <c r="U26" s="97"/>
      <c r="V26" s="98"/>
      <c r="W26" s="9"/>
    </row>
    <row r="27" spans="2:24" x14ac:dyDescent="0.3">
      <c r="B27" t="s">
        <v>19</v>
      </c>
      <c r="E27" s="78">
        <v>340000</v>
      </c>
      <c r="F27" s="78"/>
      <c r="G27" s="78"/>
      <c r="H27" s="78"/>
      <c r="I27" s="3"/>
      <c r="J27" s="3"/>
      <c r="K27" s="3"/>
      <c r="L27" s="3"/>
      <c r="M27" s="3"/>
      <c r="N27" s="3"/>
      <c r="O27" s="3"/>
      <c r="P27" s="3"/>
      <c r="Q27" s="3"/>
      <c r="R27" s="3"/>
      <c r="S27" s="99">
        <f>SUM(E27:R27)</f>
        <v>340000</v>
      </c>
      <c r="T27" s="99">
        <v>325000</v>
      </c>
      <c r="U27" s="99">
        <v>325000</v>
      </c>
      <c r="V27" s="46">
        <v>325000</v>
      </c>
      <c r="W27" s="68">
        <f>S27/V27-1</f>
        <v>4.6153846153846212E-2</v>
      </c>
    </row>
    <row r="28" spans="2:24" x14ac:dyDescent="0.3">
      <c r="B28" t="s">
        <v>20</v>
      </c>
      <c r="E28" s="81"/>
      <c r="F28" s="81"/>
      <c r="G28" s="136">
        <v>100000</v>
      </c>
      <c r="H28" s="80"/>
      <c r="I28" s="136">
        <v>125000</v>
      </c>
      <c r="J28" s="136">
        <v>365000</v>
      </c>
      <c r="K28" s="136"/>
      <c r="L28" s="136"/>
      <c r="M28" s="137">
        <f>124000+100000+50000</f>
        <v>274000</v>
      </c>
      <c r="N28" s="136">
        <f>8/12*92340</f>
        <v>61560</v>
      </c>
      <c r="O28" s="137">
        <f>38390</f>
        <v>38390</v>
      </c>
      <c r="P28" s="137">
        <v>10000</v>
      </c>
      <c r="Q28" s="137">
        <v>75000</v>
      </c>
      <c r="R28" s="80"/>
      <c r="S28" s="11">
        <f>SUM(E28:R28)</f>
        <v>1048950</v>
      </c>
      <c r="T28" s="100">
        <f>1558616-T27</f>
        <v>1233616</v>
      </c>
      <c r="U28" s="100">
        <f>((T28-520000)/9*12)+520000</f>
        <v>1471488</v>
      </c>
      <c r="V28" s="11">
        <v>1013208</v>
      </c>
      <c r="W28" s="138">
        <f>S28/V28-1</f>
        <v>3.5276073619631809E-2</v>
      </c>
    </row>
    <row r="29" spans="2:24" s="12" customFormat="1" x14ac:dyDescent="0.3">
      <c r="B29" s="120" t="s">
        <v>160</v>
      </c>
      <c r="E29" s="135">
        <f t="shared" ref="E29:W29" si="9">E28+E27</f>
        <v>340000</v>
      </c>
      <c r="F29" s="135">
        <f t="shared" si="9"/>
        <v>0</v>
      </c>
      <c r="G29" s="129">
        <f t="shared" si="9"/>
        <v>100000</v>
      </c>
      <c r="H29" s="129">
        <f t="shared" si="9"/>
        <v>0</v>
      </c>
      <c r="I29" s="129">
        <f t="shared" si="9"/>
        <v>125000</v>
      </c>
      <c r="J29" s="129">
        <f t="shared" si="9"/>
        <v>365000</v>
      </c>
      <c r="K29" s="129">
        <f t="shared" si="9"/>
        <v>0</v>
      </c>
      <c r="L29" s="129">
        <f t="shared" si="9"/>
        <v>0</v>
      </c>
      <c r="M29" s="129">
        <f t="shared" si="9"/>
        <v>274000</v>
      </c>
      <c r="N29" s="129">
        <f t="shared" si="9"/>
        <v>61560</v>
      </c>
      <c r="O29" s="129">
        <f t="shared" si="9"/>
        <v>38390</v>
      </c>
      <c r="P29" s="129">
        <f t="shared" si="9"/>
        <v>10000</v>
      </c>
      <c r="Q29" s="129">
        <f t="shared" si="9"/>
        <v>75000</v>
      </c>
      <c r="R29" s="129">
        <f t="shared" si="9"/>
        <v>0</v>
      </c>
      <c r="S29" s="129">
        <f t="shared" si="9"/>
        <v>1388950</v>
      </c>
      <c r="T29" s="129">
        <f t="shared" si="9"/>
        <v>1558616</v>
      </c>
      <c r="U29" s="129">
        <f t="shared" si="9"/>
        <v>1796488</v>
      </c>
      <c r="V29" s="129">
        <f t="shared" si="9"/>
        <v>1338208</v>
      </c>
      <c r="W29" s="129">
        <f t="shared" si="9"/>
        <v>8.1429919773478021E-2</v>
      </c>
    </row>
    <row r="30" spans="2:24" s="12" customFormat="1" x14ac:dyDescent="0.3">
      <c r="B30" s="120"/>
      <c r="E30" s="130"/>
      <c r="F30" s="130"/>
      <c r="G30" s="130"/>
      <c r="H30" s="130"/>
      <c r="I30" s="130"/>
      <c r="J30" s="131"/>
      <c r="K30" s="131"/>
      <c r="L30" s="130"/>
      <c r="M30" s="130"/>
      <c r="N30" s="130"/>
      <c r="O30" s="131"/>
      <c r="P30" s="131"/>
      <c r="Q30" s="131"/>
      <c r="R30" s="130"/>
      <c r="S30" s="121"/>
      <c r="T30" s="121"/>
      <c r="U30" s="121"/>
      <c r="V30" s="122"/>
      <c r="W30" s="123"/>
    </row>
    <row r="31" spans="2:24" x14ac:dyDescent="0.3">
      <c r="B31" t="s">
        <v>21</v>
      </c>
      <c r="E31" s="130"/>
      <c r="F31" s="130"/>
      <c r="G31" s="130"/>
      <c r="H31" s="130"/>
      <c r="I31" s="130">
        <v>25000</v>
      </c>
      <c r="J31" s="131"/>
      <c r="K31" s="132">
        <v>15000</v>
      </c>
      <c r="L31" s="130">
        <v>71500</v>
      </c>
      <c r="M31" s="130"/>
      <c r="N31" s="130"/>
      <c r="O31" s="131"/>
      <c r="P31" s="131"/>
      <c r="Q31" s="131"/>
      <c r="R31" s="132">
        <v>75000</v>
      </c>
      <c r="S31" s="99">
        <f t="shared" ref="S31:S101" si="10">SUM(E31:R31)</f>
        <v>186500</v>
      </c>
      <c r="T31" s="99">
        <v>101140</v>
      </c>
      <c r="U31" s="99">
        <f>T31/9*12</f>
        <v>134853.33333333331</v>
      </c>
      <c r="V31" s="8">
        <v>161100</v>
      </c>
      <c r="W31" s="68">
        <f>S31/V31-1</f>
        <v>0.1576660459342023</v>
      </c>
    </row>
    <row r="32" spans="2:24" x14ac:dyDescent="0.3">
      <c r="B32" t="s">
        <v>22</v>
      </c>
      <c r="E32" s="130">
        <f>3078</f>
        <v>3078</v>
      </c>
      <c r="F32" s="130"/>
      <c r="G32" s="130">
        <v>1500</v>
      </c>
      <c r="H32" s="130">
        <v>1500</v>
      </c>
      <c r="J32" s="130"/>
      <c r="K32" s="130"/>
      <c r="L32" s="130"/>
      <c r="M32" s="130"/>
      <c r="N32" s="130"/>
      <c r="O32" s="131"/>
      <c r="P32" s="131"/>
      <c r="Q32" s="131"/>
      <c r="R32" s="130">
        <v>1000</v>
      </c>
      <c r="S32" s="99">
        <f t="shared" si="10"/>
        <v>7078</v>
      </c>
      <c r="T32" s="99">
        <v>2125</v>
      </c>
      <c r="U32" s="99">
        <f>T32/9*12</f>
        <v>2833.3333333333335</v>
      </c>
      <c r="V32" s="8">
        <v>5500</v>
      </c>
      <c r="W32" s="68"/>
      <c r="X32" t="s">
        <v>136</v>
      </c>
    </row>
    <row r="33" spans="2:24" x14ac:dyDescent="0.3">
      <c r="B33" t="s">
        <v>23</v>
      </c>
      <c r="E33" s="133"/>
      <c r="F33" s="133"/>
      <c r="G33" s="133">
        <v>2500</v>
      </c>
      <c r="H33" s="133"/>
      <c r="I33" s="133"/>
      <c r="J33" s="133"/>
      <c r="K33" s="133"/>
      <c r="L33" s="133"/>
      <c r="M33" s="133"/>
      <c r="N33" s="133"/>
      <c r="O33" s="139"/>
      <c r="P33" s="139"/>
      <c r="Q33" s="139"/>
      <c r="R33" s="133"/>
      <c r="S33" s="8">
        <f t="shared" si="10"/>
        <v>2500</v>
      </c>
      <c r="T33" s="99">
        <v>0</v>
      </c>
      <c r="U33" s="99"/>
      <c r="V33" s="8">
        <v>25000</v>
      </c>
      <c r="W33" s="68"/>
    </row>
    <row r="34" spans="2:24" x14ac:dyDescent="0.3">
      <c r="B34" s="120" t="s">
        <v>163</v>
      </c>
      <c r="E34" s="135">
        <f>SUM(E31:E33)</f>
        <v>3078</v>
      </c>
      <c r="F34" s="135">
        <f t="shared" ref="F34:U34" si="11">SUM(F31:F33)</f>
        <v>0</v>
      </c>
      <c r="G34" s="135">
        <f t="shared" si="11"/>
        <v>4000</v>
      </c>
      <c r="H34" s="135">
        <f t="shared" si="11"/>
        <v>1500</v>
      </c>
      <c r="I34" s="135">
        <f t="shared" si="11"/>
        <v>25000</v>
      </c>
      <c r="J34" s="135">
        <f t="shared" si="11"/>
        <v>0</v>
      </c>
      <c r="K34" s="135">
        <f t="shared" si="11"/>
        <v>15000</v>
      </c>
      <c r="L34" s="135">
        <f t="shared" si="11"/>
        <v>71500</v>
      </c>
      <c r="M34" s="135">
        <f t="shared" si="11"/>
        <v>0</v>
      </c>
      <c r="N34" s="135">
        <f t="shared" si="11"/>
        <v>0</v>
      </c>
      <c r="O34" s="135">
        <f t="shared" si="11"/>
        <v>0</v>
      </c>
      <c r="P34" s="135">
        <f t="shared" si="11"/>
        <v>0</v>
      </c>
      <c r="Q34" s="135">
        <f t="shared" si="11"/>
        <v>0</v>
      </c>
      <c r="R34" s="135">
        <f t="shared" si="11"/>
        <v>76000</v>
      </c>
      <c r="S34" s="135">
        <f t="shared" si="11"/>
        <v>196078</v>
      </c>
      <c r="T34" s="135">
        <f t="shared" si="11"/>
        <v>103265</v>
      </c>
      <c r="U34" s="135">
        <f t="shared" si="11"/>
        <v>137686.66666666666</v>
      </c>
      <c r="V34" s="135">
        <f t="shared" ref="V34" si="12">SUM(V32:V33)</f>
        <v>30500</v>
      </c>
      <c r="W34" s="135"/>
    </row>
    <row r="35" spans="2:24" x14ac:dyDescent="0.3"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1"/>
      <c r="P35" s="131"/>
      <c r="Q35" s="131"/>
      <c r="R35" s="130"/>
      <c r="S35" s="99"/>
      <c r="T35" s="99"/>
      <c r="U35" s="99"/>
      <c r="V35" s="8"/>
      <c r="W35" s="68"/>
    </row>
    <row r="36" spans="2:24" x14ac:dyDescent="0.3">
      <c r="B36" t="s">
        <v>24</v>
      </c>
      <c r="E36" s="130">
        <v>20000</v>
      </c>
      <c r="F36" s="130"/>
      <c r="G36" s="130"/>
      <c r="H36" s="130"/>
      <c r="I36" s="130"/>
      <c r="J36" s="130"/>
      <c r="K36" s="130"/>
      <c r="L36" s="130"/>
      <c r="M36" s="130"/>
      <c r="N36" s="130"/>
      <c r="O36" s="131"/>
      <c r="P36" s="132">
        <v>27000</v>
      </c>
      <c r="Q36" s="131"/>
      <c r="R36" s="130"/>
      <c r="S36" s="99">
        <f t="shared" si="10"/>
        <v>47000</v>
      </c>
      <c r="T36" s="99">
        <v>32428</v>
      </c>
      <c r="U36" s="99">
        <v>32428</v>
      </c>
      <c r="V36" s="8">
        <v>50000</v>
      </c>
      <c r="W36" s="68">
        <f>S36/V36-1</f>
        <v>-6.0000000000000053E-2</v>
      </c>
    </row>
    <row r="37" spans="2:24" x14ac:dyDescent="0.3">
      <c r="B37" t="s">
        <v>25</v>
      </c>
      <c r="E37" s="133">
        <v>25000</v>
      </c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8">
        <f t="shared" si="10"/>
        <v>25000</v>
      </c>
      <c r="T37" s="99">
        <v>0</v>
      </c>
      <c r="U37" s="99"/>
      <c r="V37" s="8">
        <v>20000</v>
      </c>
      <c r="W37" s="68">
        <f>S37/V37-1</f>
        <v>0.25</v>
      </c>
      <c r="X37" t="s">
        <v>137</v>
      </c>
    </row>
    <row r="38" spans="2:24" s="12" customFormat="1" x14ac:dyDescent="0.3">
      <c r="B38" s="120" t="s">
        <v>164</v>
      </c>
      <c r="E38" s="135">
        <f>SUM(E36:E37)</f>
        <v>45000</v>
      </c>
      <c r="F38" s="135">
        <f t="shared" ref="F38:U38" si="13">SUM(F36:F37)</f>
        <v>0</v>
      </c>
      <c r="G38" s="135">
        <f t="shared" si="13"/>
        <v>0</v>
      </c>
      <c r="H38" s="135">
        <f t="shared" si="13"/>
        <v>0</v>
      </c>
      <c r="I38" s="135">
        <f t="shared" si="13"/>
        <v>0</v>
      </c>
      <c r="J38" s="135">
        <f t="shared" si="13"/>
        <v>0</v>
      </c>
      <c r="K38" s="135">
        <f t="shared" si="13"/>
        <v>0</v>
      </c>
      <c r="L38" s="135">
        <f t="shared" si="13"/>
        <v>0</v>
      </c>
      <c r="M38" s="135">
        <f t="shared" si="13"/>
        <v>0</v>
      </c>
      <c r="N38" s="135">
        <f t="shared" si="13"/>
        <v>0</v>
      </c>
      <c r="O38" s="135">
        <f t="shared" si="13"/>
        <v>0</v>
      </c>
      <c r="P38" s="135">
        <f t="shared" si="13"/>
        <v>27000</v>
      </c>
      <c r="Q38" s="135">
        <f t="shared" si="13"/>
        <v>0</v>
      </c>
      <c r="R38" s="135">
        <f t="shared" si="13"/>
        <v>0</v>
      </c>
      <c r="S38" s="135">
        <f t="shared" si="13"/>
        <v>72000</v>
      </c>
      <c r="T38" s="135">
        <f t="shared" si="13"/>
        <v>32428</v>
      </c>
      <c r="U38" s="135">
        <f t="shared" si="13"/>
        <v>32428</v>
      </c>
      <c r="V38" s="135">
        <v>1338208</v>
      </c>
      <c r="W38" s="135"/>
    </row>
    <row r="39" spans="2:24" x14ac:dyDescent="0.3"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99">
        <f t="shared" si="10"/>
        <v>0</v>
      </c>
      <c r="T39" s="99">
        <f>SUM(T36:T37)</f>
        <v>32428</v>
      </c>
      <c r="U39" s="99">
        <v>32428</v>
      </c>
      <c r="V39" s="8">
        <v>70000</v>
      </c>
      <c r="W39" s="68">
        <f>S39/V39-1</f>
        <v>-1</v>
      </c>
    </row>
    <row r="40" spans="2:24" x14ac:dyDescent="0.3">
      <c r="B40" t="s">
        <v>26</v>
      </c>
      <c r="E40" s="133">
        <v>3000</v>
      </c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99">
        <f t="shared" si="10"/>
        <v>3000</v>
      </c>
      <c r="T40" s="99"/>
      <c r="U40" s="99"/>
      <c r="V40" s="8"/>
      <c r="W40" s="9"/>
    </row>
    <row r="41" spans="2:24" x14ac:dyDescent="0.3">
      <c r="B41" t="s">
        <v>27</v>
      </c>
      <c r="E41" s="134">
        <v>30000</v>
      </c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1">
        <f t="shared" si="10"/>
        <v>30000</v>
      </c>
      <c r="T41" s="100">
        <v>34727</v>
      </c>
      <c r="U41" s="100">
        <f>T41/9*12</f>
        <v>46302.666666666672</v>
      </c>
      <c r="V41" s="11">
        <v>25000</v>
      </c>
      <c r="W41" s="68">
        <f>S41/V41-1</f>
        <v>0.19999999999999996</v>
      </c>
    </row>
    <row r="42" spans="2:24" s="12" customFormat="1" x14ac:dyDescent="0.3">
      <c r="B42" s="120" t="s">
        <v>165</v>
      </c>
      <c r="E42" s="135">
        <f>SUM(E40:E41)</f>
        <v>33000</v>
      </c>
      <c r="F42" s="135">
        <f t="shared" ref="F42:P42" si="14">SUM(F40:F41)</f>
        <v>0</v>
      </c>
      <c r="G42" s="135">
        <f t="shared" si="14"/>
        <v>0</v>
      </c>
      <c r="H42" s="135">
        <f t="shared" si="14"/>
        <v>0</v>
      </c>
      <c r="I42" s="135">
        <f t="shared" si="14"/>
        <v>0</v>
      </c>
      <c r="J42" s="135">
        <f t="shared" si="14"/>
        <v>0</v>
      </c>
      <c r="K42" s="135">
        <f t="shared" si="14"/>
        <v>0</v>
      </c>
      <c r="L42" s="135">
        <f t="shared" si="14"/>
        <v>0</v>
      </c>
      <c r="M42" s="135">
        <f t="shared" si="14"/>
        <v>0</v>
      </c>
      <c r="N42" s="135">
        <f t="shared" si="14"/>
        <v>0</v>
      </c>
      <c r="O42" s="135">
        <f t="shared" si="14"/>
        <v>0</v>
      </c>
      <c r="P42" s="135">
        <f t="shared" si="14"/>
        <v>0</v>
      </c>
      <c r="Q42" s="135">
        <f t="shared" ref="Q42" si="15">SUM(Q40:Q41)</f>
        <v>0</v>
      </c>
      <c r="R42" s="135">
        <f t="shared" ref="R42" si="16">SUM(R40:R41)</f>
        <v>0</v>
      </c>
      <c r="S42" s="135">
        <f t="shared" ref="S42" si="17">SUM(S40:S41)</f>
        <v>33000</v>
      </c>
      <c r="T42" s="135">
        <f t="shared" ref="T42" si="18">SUM(T40:T41)</f>
        <v>34727</v>
      </c>
      <c r="U42" s="135">
        <f t="shared" ref="U42" si="19">SUM(U40:U41)</f>
        <v>46302.666666666672</v>
      </c>
      <c r="V42" s="135">
        <v>1338208</v>
      </c>
      <c r="W42" s="135"/>
    </row>
    <row r="43" spans="2:24" x14ac:dyDescent="0.3"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"/>
      <c r="T43" s="99"/>
      <c r="U43" s="99"/>
      <c r="V43" s="8"/>
      <c r="W43" s="68"/>
    </row>
    <row r="44" spans="2:24" ht="15" thickBot="1" x14ac:dyDescent="0.35"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47"/>
      <c r="T44" s="105"/>
      <c r="U44" s="105"/>
      <c r="V44" s="47"/>
      <c r="W44" s="69"/>
    </row>
    <row r="45" spans="2:24" ht="15" thickBot="1" x14ac:dyDescent="0.35">
      <c r="B45" s="140" t="s">
        <v>166</v>
      </c>
      <c r="C45" s="141"/>
      <c r="D45" s="141"/>
      <c r="E45" s="142">
        <f>E29+E34+E38+E42</f>
        <v>421078</v>
      </c>
      <c r="F45" s="142">
        <f t="shared" ref="F45:U45" si="20">F29+F34+F38+F42</f>
        <v>0</v>
      </c>
      <c r="G45" s="142">
        <f t="shared" si="20"/>
        <v>104000</v>
      </c>
      <c r="H45" s="142">
        <f t="shared" si="20"/>
        <v>1500</v>
      </c>
      <c r="I45" s="142">
        <f t="shared" si="20"/>
        <v>150000</v>
      </c>
      <c r="J45" s="142">
        <f t="shared" si="20"/>
        <v>365000</v>
      </c>
      <c r="K45" s="142">
        <f t="shared" si="20"/>
        <v>15000</v>
      </c>
      <c r="L45" s="142">
        <f t="shared" si="20"/>
        <v>71500</v>
      </c>
      <c r="M45" s="142">
        <f t="shared" si="20"/>
        <v>274000</v>
      </c>
      <c r="N45" s="142">
        <f t="shared" si="20"/>
        <v>61560</v>
      </c>
      <c r="O45" s="142">
        <f t="shared" si="20"/>
        <v>38390</v>
      </c>
      <c r="P45" s="142">
        <f t="shared" si="20"/>
        <v>37000</v>
      </c>
      <c r="Q45" s="142">
        <f t="shared" si="20"/>
        <v>75000</v>
      </c>
      <c r="R45" s="142">
        <f t="shared" si="20"/>
        <v>76000</v>
      </c>
      <c r="S45" s="142">
        <f t="shared" si="20"/>
        <v>1690028</v>
      </c>
      <c r="T45" s="142">
        <f t="shared" si="20"/>
        <v>1729036</v>
      </c>
      <c r="U45" s="142">
        <f t="shared" si="20"/>
        <v>2012905.3333333335</v>
      </c>
      <c r="V45" s="47">
        <v>1624808</v>
      </c>
      <c r="W45" s="69">
        <f>S45/V45-1</f>
        <v>4.0140127325813291E-2</v>
      </c>
    </row>
    <row r="46" spans="2:24" s="119" customFormat="1" ht="15" thickTop="1" x14ac:dyDescent="0.3">
      <c r="B46" s="113" t="s">
        <v>131</v>
      </c>
      <c r="C46" s="113"/>
      <c r="D46" s="114"/>
      <c r="E46" s="115">
        <f t="shared" ref="E46:R46" si="21">E45/$S45</f>
        <v>0.24915445187890378</v>
      </c>
      <c r="F46" s="115">
        <f t="shared" si="21"/>
        <v>0</v>
      </c>
      <c r="G46" s="115">
        <f t="shared" si="21"/>
        <v>6.1537441983209748E-2</v>
      </c>
      <c r="H46" s="115">
        <f t="shared" si="21"/>
        <v>8.8755925937321746E-4</v>
      </c>
      <c r="I46" s="115">
        <f t="shared" si="21"/>
        <v>8.8755925937321747E-2</v>
      </c>
      <c r="J46" s="115">
        <f t="shared" si="21"/>
        <v>0.2159727531141496</v>
      </c>
      <c r="K46" s="115">
        <f t="shared" si="21"/>
        <v>8.8755925937321744E-3</v>
      </c>
      <c r="L46" s="115">
        <f t="shared" si="21"/>
        <v>4.2306991363456697E-2</v>
      </c>
      <c r="M46" s="115">
        <f t="shared" si="21"/>
        <v>0.16212749137884105</v>
      </c>
      <c r="N46" s="115">
        <f t="shared" si="21"/>
        <v>3.6425432004676843E-2</v>
      </c>
      <c r="O46" s="115">
        <f t="shared" si="21"/>
        <v>2.2715599978225212E-2</v>
      </c>
      <c r="P46" s="115">
        <f t="shared" si="21"/>
        <v>2.1893128397872698E-2</v>
      </c>
      <c r="Q46" s="115">
        <f t="shared" si="21"/>
        <v>4.4377962968660874E-2</v>
      </c>
      <c r="R46" s="115">
        <f t="shared" si="21"/>
        <v>4.4969669141576352E-2</v>
      </c>
      <c r="S46" s="116"/>
      <c r="T46" s="116"/>
      <c r="U46" s="116"/>
      <c r="V46" s="117"/>
      <c r="W46" s="118"/>
    </row>
    <row r="47" spans="2:24" s="147" customFormat="1" x14ac:dyDescent="0.3">
      <c r="C47" s="147" t="s">
        <v>169</v>
      </c>
      <c r="D47" s="148"/>
      <c r="E47" s="152">
        <f>E45-SUM(E27:E28,E31:E33,E36:E37,E40:E41)</f>
        <v>0</v>
      </c>
      <c r="F47" s="152">
        <f t="shared" ref="F47:U47" si="22">F45-SUM(F27:F28,F31:F33,F36:F37,F40:F41)</f>
        <v>0</v>
      </c>
      <c r="G47" s="152">
        <f t="shared" si="22"/>
        <v>0</v>
      </c>
      <c r="H47" s="152">
        <f t="shared" si="22"/>
        <v>0</v>
      </c>
      <c r="I47" s="152">
        <f t="shared" si="22"/>
        <v>0</v>
      </c>
      <c r="J47" s="152">
        <f t="shared" si="22"/>
        <v>0</v>
      </c>
      <c r="K47" s="152">
        <f t="shared" si="22"/>
        <v>0</v>
      </c>
      <c r="L47" s="152">
        <f t="shared" si="22"/>
        <v>0</v>
      </c>
      <c r="M47" s="152">
        <f t="shared" si="22"/>
        <v>0</v>
      </c>
      <c r="N47" s="152">
        <f t="shared" si="22"/>
        <v>0</v>
      </c>
      <c r="O47" s="152">
        <f t="shared" si="22"/>
        <v>0</v>
      </c>
      <c r="P47" s="152">
        <f t="shared" si="22"/>
        <v>0</v>
      </c>
      <c r="Q47" s="152">
        <f t="shared" si="22"/>
        <v>0</v>
      </c>
      <c r="R47" s="152">
        <f t="shared" si="22"/>
        <v>0</v>
      </c>
      <c r="S47" s="152">
        <f t="shared" si="22"/>
        <v>0</v>
      </c>
      <c r="T47" s="152">
        <f t="shared" si="22"/>
        <v>0</v>
      </c>
      <c r="U47" s="152">
        <f t="shared" si="22"/>
        <v>0</v>
      </c>
      <c r="V47" s="150"/>
      <c r="W47" s="151"/>
    </row>
    <row r="48" spans="2:24" x14ac:dyDescent="0.3">
      <c r="B48" s="109"/>
      <c r="C48" s="109"/>
      <c r="D48" s="10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99"/>
      <c r="T48" s="99"/>
      <c r="U48" s="99"/>
      <c r="V48" s="8"/>
      <c r="W48" s="9"/>
    </row>
    <row r="49" spans="2:24" x14ac:dyDescent="0.3">
      <c r="B49" s="127" t="s">
        <v>167</v>
      </c>
      <c r="C49" s="124"/>
      <c r="D49" s="124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99"/>
      <c r="T49" s="99"/>
      <c r="U49" s="99"/>
      <c r="V49" s="8"/>
      <c r="W49" s="9"/>
      <c r="X49" s="77"/>
    </row>
    <row r="50" spans="2:24" x14ac:dyDescent="0.3">
      <c r="B50" s="109" t="s">
        <v>28</v>
      </c>
      <c r="C50" s="10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99">
        <f t="shared" si="10"/>
        <v>0</v>
      </c>
      <c r="T50" s="99"/>
      <c r="U50" s="99"/>
      <c r="V50" s="8"/>
      <c r="W50" s="9"/>
    </row>
    <row r="51" spans="2:24" x14ac:dyDescent="0.3">
      <c r="B51" s="109"/>
      <c r="C51" s="109" t="s">
        <v>29</v>
      </c>
      <c r="E51" s="3">
        <f t="shared" ref="E51:R51" si="23">E18</f>
        <v>0</v>
      </c>
      <c r="F51" s="3">
        <f t="shared" si="23"/>
        <v>15200</v>
      </c>
      <c r="G51" s="3">
        <f t="shared" si="23"/>
        <v>4000</v>
      </c>
      <c r="H51" s="3">
        <f t="shared" si="23"/>
        <v>0</v>
      </c>
      <c r="I51" s="3">
        <f t="shared" si="23"/>
        <v>2000</v>
      </c>
      <c r="J51" s="3">
        <f t="shared" si="23"/>
        <v>4000</v>
      </c>
      <c r="K51" s="3">
        <f t="shared" si="23"/>
        <v>0</v>
      </c>
      <c r="L51" s="3">
        <f t="shared" si="23"/>
        <v>0</v>
      </c>
      <c r="M51" s="3">
        <f t="shared" si="23"/>
        <v>0</v>
      </c>
      <c r="N51" s="3">
        <f t="shared" si="23"/>
        <v>0</v>
      </c>
      <c r="O51" s="3">
        <f t="shared" si="23"/>
        <v>0</v>
      </c>
      <c r="P51" s="3">
        <f t="shared" si="23"/>
        <v>0</v>
      </c>
      <c r="Q51" s="3">
        <f t="shared" si="23"/>
        <v>0</v>
      </c>
      <c r="R51" s="3">
        <f t="shared" si="23"/>
        <v>0</v>
      </c>
      <c r="S51" s="99">
        <f t="shared" si="10"/>
        <v>25200</v>
      </c>
      <c r="T51" s="99"/>
      <c r="U51" s="99"/>
      <c r="V51" s="8">
        <v>29200</v>
      </c>
      <c r="W51" s="9"/>
    </row>
    <row r="52" spans="2:24" x14ac:dyDescent="0.3">
      <c r="B52" s="109"/>
      <c r="C52" s="109" t="s">
        <v>30</v>
      </c>
      <c r="E52" s="3">
        <f t="shared" ref="E52:R52" si="24">E17</f>
        <v>103325</v>
      </c>
      <c r="F52" s="3">
        <f t="shared" si="24"/>
        <v>37950</v>
      </c>
      <c r="G52" s="3">
        <f t="shared" si="24"/>
        <v>88595.299999999988</v>
      </c>
      <c r="H52" s="3">
        <f t="shared" si="24"/>
        <v>11250</v>
      </c>
      <c r="I52" s="3">
        <f t="shared" si="24"/>
        <v>75405.524999999994</v>
      </c>
      <c r="J52" s="3">
        <f t="shared" si="24"/>
        <v>126812.5</v>
      </c>
      <c r="K52" s="3">
        <f t="shared" si="24"/>
        <v>20662.5</v>
      </c>
      <c r="L52" s="3">
        <f t="shared" si="24"/>
        <v>41183.699999999997</v>
      </c>
      <c r="M52" s="3">
        <f t="shared" si="24"/>
        <v>9412.5</v>
      </c>
      <c r="N52" s="3">
        <f t="shared" si="24"/>
        <v>31200</v>
      </c>
      <c r="O52" s="3">
        <f t="shared" si="24"/>
        <v>22752.25</v>
      </c>
      <c r="P52" s="3">
        <f t="shared" si="24"/>
        <v>15000</v>
      </c>
      <c r="Q52" s="3">
        <f t="shared" si="24"/>
        <v>42475</v>
      </c>
      <c r="R52" s="3">
        <f t="shared" si="24"/>
        <v>28425</v>
      </c>
      <c r="S52" s="99">
        <f t="shared" si="10"/>
        <v>654449.27499999991</v>
      </c>
      <c r="T52" s="99"/>
      <c r="U52" s="99"/>
      <c r="V52" s="8">
        <v>682635.625</v>
      </c>
      <c r="W52" s="9"/>
      <c r="X52" t="s">
        <v>148</v>
      </c>
    </row>
    <row r="53" spans="2:24" x14ac:dyDescent="0.3">
      <c r="B53" s="109"/>
      <c r="C53" s="109" t="s">
        <v>31</v>
      </c>
      <c r="E53" s="3">
        <f t="shared" ref="E53:R53" si="25">E22</f>
        <v>8761.9600000000009</v>
      </c>
      <c r="F53" s="3">
        <f t="shared" si="25"/>
        <v>4507.12</v>
      </c>
      <c r="G53" s="3">
        <f t="shared" si="25"/>
        <v>7852.081439999999</v>
      </c>
      <c r="H53" s="3">
        <f t="shared" si="25"/>
        <v>954</v>
      </c>
      <c r="I53" s="3">
        <f t="shared" si="25"/>
        <v>6563.9885199999999</v>
      </c>
      <c r="J53" s="3">
        <f t="shared" si="25"/>
        <v>11092.9</v>
      </c>
      <c r="K53" s="3">
        <f t="shared" si="25"/>
        <v>1752.18</v>
      </c>
      <c r="L53" s="3">
        <f t="shared" si="25"/>
        <v>3492.3777599999999</v>
      </c>
      <c r="M53" s="3">
        <f t="shared" si="25"/>
        <v>798.18</v>
      </c>
      <c r="N53" s="3">
        <f t="shared" si="25"/>
        <v>2645.76</v>
      </c>
      <c r="O53" s="3">
        <f t="shared" si="25"/>
        <v>1929.3907999999999</v>
      </c>
      <c r="P53" s="3">
        <f t="shared" si="25"/>
        <v>1272</v>
      </c>
      <c r="Q53" s="3">
        <f t="shared" si="25"/>
        <v>3601.88</v>
      </c>
      <c r="R53" s="3">
        <f t="shared" si="25"/>
        <v>2410.44</v>
      </c>
      <c r="S53" s="99">
        <f t="shared" si="10"/>
        <v>57634.258520000003</v>
      </c>
      <c r="T53" s="99"/>
      <c r="U53" s="99"/>
      <c r="V53" s="8">
        <v>60363.661</v>
      </c>
      <c r="W53" s="9"/>
    </row>
    <row r="54" spans="2:24" x14ac:dyDescent="0.3">
      <c r="B54" s="109"/>
      <c r="C54" s="109" t="s">
        <v>32</v>
      </c>
      <c r="E54" s="3">
        <f t="shared" ref="E54:R54" si="26">E21</f>
        <v>16785.146250000002</v>
      </c>
      <c r="F54" s="3">
        <f t="shared" si="26"/>
        <v>6164.9775000000009</v>
      </c>
      <c r="G54" s="3">
        <f t="shared" si="26"/>
        <v>14392.306484999999</v>
      </c>
      <c r="H54" s="3">
        <f t="shared" si="26"/>
        <v>1827.5625000000002</v>
      </c>
      <c r="I54" s="3">
        <f t="shared" si="26"/>
        <v>12249.62753625</v>
      </c>
      <c r="J54" s="3">
        <f t="shared" si="26"/>
        <v>20600.690625000003</v>
      </c>
      <c r="K54" s="3">
        <f t="shared" si="26"/>
        <v>3356.6231250000001</v>
      </c>
      <c r="L54" s="3">
        <f t="shared" si="26"/>
        <v>6690.2920649999996</v>
      </c>
      <c r="M54" s="3">
        <f t="shared" si="26"/>
        <v>1529.0606250000001</v>
      </c>
      <c r="N54" s="3">
        <f t="shared" si="26"/>
        <v>5068.4400000000005</v>
      </c>
      <c r="O54" s="3">
        <f t="shared" si="26"/>
        <v>3696.1030125000002</v>
      </c>
      <c r="P54" s="3">
        <f t="shared" si="26"/>
        <v>2436.75</v>
      </c>
      <c r="Q54" s="3">
        <f t="shared" si="26"/>
        <v>6900.0637500000003</v>
      </c>
      <c r="R54" s="3">
        <f t="shared" si="26"/>
        <v>4617.6412500000006</v>
      </c>
      <c r="S54" s="99">
        <f t="shared" si="10"/>
        <v>106315.28472375001</v>
      </c>
      <c r="T54" s="99"/>
      <c r="U54" s="99"/>
      <c r="V54" s="8">
        <v>99993.762281250005</v>
      </c>
      <c r="W54" s="9"/>
    </row>
    <row r="55" spans="2:24" x14ac:dyDescent="0.3">
      <c r="B55" s="109"/>
      <c r="C55" s="109" t="s">
        <v>33</v>
      </c>
      <c r="E55" s="3">
        <f>0.03*E52</f>
        <v>3099.75</v>
      </c>
      <c r="F55" s="3">
        <f t="shared" ref="F55:R55" si="27">0.03*F52</f>
        <v>1138.5</v>
      </c>
      <c r="G55" s="3">
        <f t="shared" si="27"/>
        <v>2657.8589999999995</v>
      </c>
      <c r="H55" s="3">
        <f t="shared" si="27"/>
        <v>337.5</v>
      </c>
      <c r="I55" s="3">
        <f t="shared" si="27"/>
        <v>2262.1657499999997</v>
      </c>
      <c r="J55" s="3">
        <f t="shared" si="27"/>
        <v>3804.375</v>
      </c>
      <c r="K55" s="3">
        <f t="shared" si="27"/>
        <v>619.875</v>
      </c>
      <c r="L55" s="3">
        <f t="shared" si="27"/>
        <v>1235.511</v>
      </c>
      <c r="M55" s="3">
        <f t="shared" si="27"/>
        <v>282.375</v>
      </c>
      <c r="N55" s="3">
        <f t="shared" si="27"/>
        <v>936</v>
      </c>
      <c r="O55" s="3">
        <f t="shared" si="27"/>
        <v>682.5675</v>
      </c>
      <c r="P55" s="3">
        <f t="shared" si="27"/>
        <v>450</v>
      </c>
      <c r="Q55" s="3">
        <f t="shared" si="27"/>
        <v>1274.25</v>
      </c>
      <c r="R55" s="3">
        <f t="shared" si="27"/>
        <v>852.75</v>
      </c>
      <c r="S55" s="99">
        <f t="shared" si="10"/>
        <v>19633.47825</v>
      </c>
      <c r="T55" s="99"/>
      <c r="U55" s="99"/>
      <c r="V55" s="8">
        <v>20479.068750000002</v>
      </c>
      <c r="W55" s="9"/>
    </row>
    <row r="56" spans="2:24" x14ac:dyDescent="0.3">
      <c r="B56" s="109"/>
      <c r="C56" s="109" t="s">
        <v>34</v>
      </c>
      <c r="E56" s="78">
        <v>4500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99">
        <f t="shared" si="10"/>
        <v>4500</v>
      </c>
      <c r="T56" s="99"/>
      <c r="U56" s="99"/>
      <c r="V56" s="8">
        <v>4100</v>
      </c>
      <c r="W56" s="9"/>
    </row>
    <row r="57" spans="2:24" x14ac:dyDescent="0.3">
      <c r="B57" s="109"/>
      <c r="C57" s="109" t="s">
        <v>35</v>
      </c>
      <c r="E57" s="136">
        <v>3000</v>
      </c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11">
        <f t="shared" si="10"/>
        <v>3000</v>
      </c>
      <c r="T57" s="100"/>
      <c r="U57" s="100"/>
      <c r="V57" s="11">
        <v>2693</v>
      </c>
      <c r="W57" s="40"/>
    </row>
    <row r="58" spans="2:24" s="12" customFormat="1" x14ac:dyDescent="0.3">
      <c r="B58" s="120" t="s">
        <v>36</v>
      </c>
      <c r="E58" s="129">
        <f>SUM(E51:E57)</f>
        <v>139471.85625000001</v>
      </c>
      <c r="F58" s="129">
        <f t="shared" ref="F58:W58" si="28">SUM(F51:F57)</f>
        <v>64960.597500000003</v>
      </c>
      <c r="G58" s="129">
        <f t="shared" si="28"/>
        <v>117497.54692499997</v>
      </c>
      <c r="H58" s="129">
        <f t="shared" si="28"/>
        <v>14369.0625</v>
      </c>
      <c r="I58" s="129">
        <f t="shared" si="28"/>
        <v>98481.306806249995</v>
      </c>
      <c r="J58" s="129">
        <f t="shared" si="28"/>
        <v>166310.46562500001</v>
      </c>
      <c r="K58" s="129">
        <f t="shared" si="28"/>
        <v>26391.178124999999</v>
      </c>
      <c r="L58" s="129">
        <f t="shared" si="28"/>
        <v>52601.880825</v>
      </c>
      <c r="M58" s="129">
        <f t="shared" si="28"/>
        <v>12022.115625</v>
      </c>
      <c r="N58" s="129">
        <f t="shared" si="28"/>
        <v>39850.200000000004</v>
      </c>
      <c r="O58" s="129">
        <f t="shared" si="28"/>
        <v>29060.311312500002</v>
      </c>
      <c r="P58" s="129">
        <f t="shared" si="28"/>
        <v>19158.75</v>
      </c>
      <c r="Q58" s="129">
        <f t="shared" si="28"/>
        <v>54251.193749999999</v>
      </c>
      <c r="R58" s="129">
        <f t="shared" si="28"/>
        <v>36305.831250000003</v>
      </c>
      <c r="S58" s="129">
        <f t="shared" si="28"/>
        <v>870732.29649374995</v>
      </c>
      <c r="T58" s="129">
        <f t="shared" si="28"/>
        <v>0</v>
      </c>
      <c r="U58" s="129">
        <f t="shared" si="28"/>
        <v>0</v>
      </c>
      <c r="V58" s="129">
        <f t="shared" si="28"/>
        <v>899465.11703124992</v>
      </c>
      <c r="W58" s="129">
        <f t="shared" si="28"/>
        <v>0</v>
      </c>
    </row>
    <row r="59" spans="2:24" x14ac:dyDescent="0.3">
      <c r="B59" s="109" t="s">
        <v>37</v>
      </c>
      <c r="C59" s="109"/>
      <c r="E59" s="78"/>
      <c r="F59" s="7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99">
        <f t="shared" si="10"/>
        <v>0</v>
      </c>
      <c r="T59" s="99"/>
      <c r="U59" s="99"/>
      <c r="V59" s="8">
        <v>0</v>
      </c>
      <c r="W59" s="9"/>
    </row>
    <row r="60" spans="2:24" x14ac:dyDescent="0.3">
      <c r="B60" s="109"/>
      <c r="C60" s="109" t="s">
        <v>38</v>
      </c>
      <c r="E60" s="3">
        <v>10000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99">
        <f t="shared" si="10"/>
        <v>10000</v>
      </c>
      <c r="T60" s="99"/>
      <c r="U60" s="99"/>
      <c r="V60" s="8">
        <v>5000</v>
      </c>
      <c r="W60" s="9"/>
      <c r="X60" t="s">
        <v>138</v>
      </c>
    </row>
    <row r="61" spans="2:24" x14ac:dyDescent="0.3">
      <c r="B61" s="109"/>
      <c r="C61" s="109" t="s">
        <v>39</v>
      </c>
      <c r="E61" s="3">
        <v>2500</v>
      </c>
      <c r="F61" s="3">
        <f>359.88+556.08+2778+1776</f>
        <v>5469.96</v>
      </c>
      <c r="G61" s="3">
        <v>2499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99">
        <f t="shared" si="10"/>
        <v>10468.959999999999</v>
      </c>
      <c r="T61" s="99"/>
      <c r="U61" s="99"/>
      <c r="V61" s="8">
        <v>10000</v>
      </c>
      <c r="W61" s="9"/>
    </row>
    <row r="62" spans="2:24" x14ac:dyDescent="0.3">
      <c r="B62" s="109"/>
      <c r="C62" s="109" t="s">
        <v>40</v>
      </c>
      <c r="E62" s="3">
        <f>750*10</f>
        <v>7500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99">
        <f t="shared" si="10"/>
        <v>7500</v>
      </c>
      <c r="T62" s="99"/>
      <c r="U62" s="99"/>
      <c r="V62" s="8">
        <v>5000</v>
      </c>
      <c r="W62" s="9"/>
      <c r="X62" t="s">
        <v>139</v>
      </c>
    </row>
    <row r="63" spans="2:24" x14ac:dyDescent="0.3">
      <c r="B63" s="109"/>
      <c r="C63" s="109" t="s">
        <v>41</v>
      </c>
      <c r="E63" s="136">
        <v>2500</v>
      </c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11">
        <f t="shared" si="10"/>
        <v>2500</v>
      </c>
      <c r="T63" s="100"/>
      <c r="U63" s="100"/>
      <c r="V63" s="11">
        <v>2500</v>
      </c>
      <c r="W63" s="40"/>
    </row>
    <row r="64" spans="2:24" s="12" customFormat="1" x14ac:dyDescent="0.3">
      <c r="B64" s="120" t="s">
        <v>42</v>
      </c>
      <c r="E64" s="129">
        <f t="shared" ref="E64:R64" si="29">SUM(E60:E63)</f>
        <v>22500</v>
      </c>
      <c r="F64" s="129">
        <f t="shared" si="29"/>
        <v>5469.96</v>
      </c>
      <c r="G64" s="129">
        <f t="shared" si="29"/>
        <v>2499</v>
      </c>
      <c r="H64" s="129">
        <f t="shared" si="29"/>
        <v>0</v>
      </c>
      <c r="I64" s="129">
        <f t="shared" si="29"/>
        <v>0</v>
      </c>
      <c r="J64" s="129">
        <f t="shared" si="29"/>
        <v>0</v>
      </c>
      <c r="K64" s="129">
        <f t="shared" si="29"/>
        <v>0</v>
      </c>
      <c r="L64" s="129">
        <f t="shared" si="29"/>
        <v>0</v>
      </c>
      <c r="M64" s="129">
        <f t="shared" si="29"/>
        <v>0</v>
      </c>
      <c r="N64" s="129">
        <f t="shared" si="29"/>
        <v>0</v>
      </c>
      <c r="O64" s="129">
        <f t="shared" si="29"/>
        <v>0</v>
      </c>
      <c r="P64" s="129">
        <f t="shared" si="29"/>
        <v>0</v>
      </c>
      <c r="Q64" s="129">
        <f t="shared" si="29"/>
        <v>0</v>
      </c>
      <c r="R64" s="129">
        <f t="shared" si="29"/>
        <v>0</v>
      </c>
      <c r="S64" s="129">
        <f t="shared" si="10"/>
        <v>30468.959999999999</v>
      </c>
      <c r="T64" s="129">
        <v>6137</v>
      </c>
      <c r="U64" s="129">
        <f>T64/9*12</f>
        <v>8182.666666666667</v>
      </c>
      <c r="V64" s="129">
        <v>22500</v>
      </c>
      <c r="W64" s="129">
        <f>S64/V64-1</f>
        <v>0.35417600000000005</v>
      </c>
    </row>
    <row r="65" spans="2:24" x14ac:dyDescent="0.3">
      <c r="B65" s="109" t="s">
        <v>43</v>
      </c>
      <c r="C65" s="10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99">
        <f t="shared" si="10"/>
        <v>0</v>
      </c>
      <c r="T65" s="99"/>
      <c r="U65" s="99"/>
      <c r="V65" s="8"/>
      <c r="W65" s="9"/>
    </row>
    <row r="66" spans="2:24" x14ac:dyDescent="0.3">
      <c r="B66" s="109"/>
      <c r="C66" s="109" t="s">
        <v>44</v>
      </c>
      <c r="E66" s="78">
        <f>239*12</f>
        <v>2868</v>
      </c>
      <c r="F66" s="78"/>
      <c r="G66" s="78"/>
      <c r="H66" s="78"/>
      <c r="I66" s="3"/>
      <c r="J66" s="3"/>
      <c r="K66" s="3"/>
      <c r="L66" s="3"/>
      <c r="M66" s="3"/>
      <c r="N66" s="3"/>
      <c r="O66" s="3"/>
      <c r="P66" s="3"/>
      <c r="Q66" s="3"/>
      <c r="R66" s="3"/>
      <c r="S66" s="99">
        <f t="shared" si="10"/>
        <v>2868</v>
      </c>
      <c r="T66" s="99"/>
      <c r="U66" s="99"/>
      <c r="V66" s="8">
        <v>12865</v>
      </c>
      <c r="W66" s="9"/>
      <c r="X66" t="s">
        <v>140</v>
      </c>
    </row>
    <row r="67" spans="2:24" x14ac:dyDescent="0.3">
      <c r="B67" s="109"/>
      <c r="C67" s="109" t="s">
        <v>45</v>
      </c>
      <c r="E67" s="136">
        <f>1680</f>
        <v>1680</v>
      </c>
      <c r="F67" s="80"/>
      <c r="G67" s="80"/>
      <c r="H67" s="80"/>
      <c r="I67" s="80">
        <v>120</v>
      </c>
      <c r="J67" s="80">
        <f>850*12+1000</f>
        <v>11200</v>
      </c>
      <c r="K67" s="80"/>
      <c r="L67" s="80"/>
      <c r="M67" s="80"/>
      <c r="N67" s="80">
        <f>(26.5*8)</f>
        <v>212</v>
      </c>
      <c r="O67" s="80"/>
      <c r="P67" s="80"/>
      <c r="Q67" s="80"/>
      <c r="R67" s="80"/>
      <c r="S67" s="11">
        <f t="shared" si="10"/>
        <v>13212</v>
      </c>
      <c r="T67" s="100"/>
      <c r="U67" s="100"/>
      <c r="V67" s="11">
        <v>31965</v>
      </c>
      <c r="W67" s="40"/>
    </row>
    <row r="68" spans="2:24" s="12" customFormat="1" x14ac:dyDescent="0.3">
      <c r="B68" s="120" t="s">
        <v>46</v>
      </c>
      <c r="E68" s="129">
        <f>SUM(E66:E67)</f>
        <v>4548</v>
      </c>
      <c r="F68" s="129">
        <f t="shared" ref="F68:R68" si="30">SUM(F66:F67)</f>
        <v>0</v>
      </c>
      <c r="G68" s="129">
        <f t="shared" si="30"/>
        <v>0</v>
      </c>
      <c r="H68" s="129">
        <f t="shared" si="30"/>
        <v>0</v>
      </c>
      <c r="I68" s="129">
        <f t="shared" si="30"/>
        <v>120</v>
      </c>
      <c r="J68" s="129">
        <f t="shared" si="30"/>
        <v>11200</v>
      </c>
      <c r="K68" s="129">
        <f t="shared" si="30"/>
        <v>0</v>
      </c>
      <c r="L68" s="129">
        <f t="shared" si="30"/>
        <v>0</v>
      </c>
      <c r="M68" s="129">
        <f t="shared" si="30"/>
        <v>0</v>
      </c>
      <c r="N68" s="129">
        <f t="shared" si="30"/>
        <v>212</v>
      </c>
      <c r="O68" s="129">
        <f t="shared" si="30"/>
        <v>0</v>
      </c>
      <c r="P68" s="129">
        <f t="shared" si="30"/>
        <v>0</v>
      </c>
      <c r="Q68" s="129">
        <f t="shared" si="30"/>
        <v>0</v>
      </c>
      <c r="R68" s="129">
        <f t="shared" si="30"/>
        <v>0</v>
      </c>
      <c r="S68" s="129">
        <f t="shared" si="10"/>
        <v>16080</v>
      </c>
      <c r="T68" s="129">
        <v>12418</v>
      </c>
      <c r="U68" s="129">
        <f>T68/9*12</f>
        <v>16557.333333333336</v>
      </c>
      <c r="V68" s="129">
        <v>44830</v>
      </c>
      <c r="W68" s="129">
        <f>S68/V68-1</f>
        <v>-0.64131162168190947</v>
      </c>
    </row>
    <row r="69" spans="2:24" x14ac:dyDescent="0.3">
      <c r="B69" s="109" t="s">
        <v>47</v>
      </c>
      <c r="C69" s="10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99">
        <f t="shared" si="10"/>
        <v>0</v>
      </c>
      <c r="T69" s="99"/>
      <c r="U69" s="99"/>
      <c r="V69" s="8"/>
      <c r="W69" s="9"/>
    </row>
    <row r="70" spans="2:24" x14ac:dyDescent="0.3">
      <c r="B70" s="109"/>
      <c r="C70" s="109" t="s">
        <v>48</v>
      </c>
      <c r="E70" s="3">
        <v>5000</v>
      </c>
      <c r="F70" s="3"/>
      <c r="G70" s="3"/>
      <c r="H70" s="3">
        <v>1500</v>
      </c>
      <c r="I70" s="3"/>
      <c r="J70" s="66">
        <v>21300</v>
      </c>
      <c r="K70" s="3"/>
      <c r="L70" s="3"/>
      <c r="M70" s="3"/>
      <c r="N70" s="3"/>
      <c r="O70" s="3">
        <v>25000</v>
      </c>
      <c r="P70" s="3">
        <v>13000</v>
      </c>
      <c r="Q70" s="3"/>
      <c r="R70" s="3"/>
      <c r="S70" s="99">
        <f t="shared" si="10"/>
        <v>65800</v>
      </c>
      <c r="T70" s="99"/>
      <c r="U70" s="99"/>
      <c r="V70" s="8">
        <v>86120</v>
      </c>
      <c r="W70" s="9"/>
    </row>
    <row r="71" spans="2:24" x14ac:dyDescent="0.3">
      <c r="B71" s="109"/>
      <c r="C71" s="109" t="s">
        <v>49</v>
      </c>
      <c r="E71" s="3"/>
      <c r="F71" s="3"/>
      <c r="G71" s="3"/>
      <c r="H71" s="3"/>
      <c r="I71" s="3">
        <v>1000</v>
      </c>
      <c r="J71" s="3">
        <v>27500</v>
      </c>
      <c r="K71" s="3"/>
      <c r="L71" s="3"/>
      <c r="M71" s="3"/>
      <c r="N71" s="3"/>
      <c r="O71" s="3"/>
      <c r="P71" s="3"/>
      <c r="Q71" s="3">
        <v>45000</v>
      </c>
      <c r="R71" s="3"/>
      <c r="S71" s="99">
        <f t="shared" si="10"/>
        <v>73500</v>
      </c>
      <c r="T71" s="99"/>
      <c r="U71" s="99"/>
      <c r="V71" s="8">
        <v>55787</v>
      </c>
      <c r="W71" s="9"/>
      <c r="X71" t="s">
        <v>141</v>
      </c>
    </row>
    <row r="72" spans="2:24" x14ac:dyDescent="0.3">
      <c r="B72" s="109"/>
      <c r="C72" s="109" t="s">
        <v>50</v>
      </c>
      <c r="E72" s="136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11">
        <f t="shared" si="10"/>
        <v>0</v>
      </c>
      <c r="T72" s="100"/>
      <c r="U72" s="100"/>
      <c r="V72" s="11">
        <v>20200</v>
      </c>
      <c r="W72" s="40"/>
    </row>
    <row r="73" spans="2:24" s="12" customFormat="1" x14ac:dyDescent="0.3">
      <c r="B73" s="120" t="s">
        <v>51</v>
      </c>
      <c r="E73" s="129">
        <f t="shared" ref="E73:R73" si="31">SUM(E70:E72)</f>
        <v>5000</v>
      </c>
      <c r="F73" s="129">
        <f t="shared" si="31"/>
        <v>0</v>
      </c>
      <c r="G73" s="129">
        <f t="shared" si="31"/>
        <v>0</v>
      </c>
      <c r="H73" s="129">
        <f t="shared" si="31"/>
        <v>1500</v>
      </c>
      <c r="I73" s="129">
        <f t="shared" si="31"/>
        <v>1000</v>
      </c>
      <c r="J73" s="129">
        <f t="shared" si="31"/>
        <v>48800</v>
      </c>
      <c r="K73" s="129">
        <f t="shared" si="31"/>
        <v>0</v>
      </c>
      <c r="L73" s="129">
        <f t="shared" si="31"/>
        <v>0</v>
      </c>
      <c r="M73" s="129">
        <f t="shared" si="31"/>
        <v>0</v>
      </c>
      <c r="N73" s="129">
        <f t="shared" si="31"/>
        <v>0</v>
      </c>
      <c r="O73" s="129">
        <f t="shared" si="31"/>
        <v>25000</v>
      </c>
      <c r="P73" s="129">
        <f t="shared" si="31"/>
        <v>13000</v>
      </c>
      <c r="Q73" s="129">
        <f t="shared" si="31"/>
        <v>45000</v>
      </c>
      <c r="R73" s="129">
        <f t="shared" si="31"/>
        <v>0</v>
      </c>
      <c r="S73" s="129">
        <f t="shared" si="10"/>
        <v>139300</v>
      </c>
      <c r="T73" s="129">
        <v>106923</v>
      </c>
      <c r="U73" s="129">
        <v>115000</v>
      </c>
      <c r="V73" s="129">
        <v>162107</v>
      </c>
      <c r="W73" s="129">
        <f>S73/V73-1</f>
        <v>-0.14069102506369247</v>
      </c>
    </row>
    <row r="74" spans="2:24" x14ac:dyDescent="0.3">
      <c r="B74" s="109" t="s">
        <v>52</v>
      </c>
      <c r="C74" s="10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99">
        <f t="shared" si="10"/>
        <v>0</v>
      </c>
      <c r="T74" s="99"/>
      <c r="U74" s="99"/>
      <c r="V74" s="8">
        <v>0</v>
      </c>
      <c r="W74" s="9"/>
    </row>
    <row r="75" spans="2:24" x14ac:dyDescent="0.3">
      <c r="B75" s="109"/>
      <c r="C75" s="109" t="s">
        <v>53</v>
      </c>
      <c r="E75" s="137">
        <f>13500+(2565*12)</f>
        <v>44280</v>
      </c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11">
        <f t="shared" si="10"/>
        <v>44280</v>
      </c>
      <c r="T75" s="100"/>
      <c r="U75" s="100"/>
      <c r="V75" s="11">
        <v>35000</v>
      </c>
      <c r="W75" s="40"/>
    </row>
    <row r="76" spans="2:24" s="12" customFormat="1" x14ac:dyDescent="0.3">
      <c r="B76" s="120" t="s">
        <v>54</v>
      </c>
      <c r="E76" s="129">
        <f>E75</f>
        <v>44280</v>
      </c>
      <c r="F76" s="129">
        <f t="shared" ref="F76:R76" si="32">F75</f>
        <v>0</v>
      </c>
      <c r="G76" s="129">
        <f t="shared" si="32"/>
        <v>0</v>
      </c>
      <c r="H76" s="129">
        <f t="shared" si="32"/>
        <v>0</v>
      </c>
      <c r="I76" s="129">
        <f t="shared" si="32"/>
        <v>0</v>
      </c>
      <c r="J76" s="129">
        <f t="shared" si="32"/>
        <v>0</v>
      </c>
      <c r="K76" s="129">
        <f t="shared" si="32"/>
        <v>0</v>
      </c>
      <c r="L76" s="129">
        <f t="shared" si="32"/>
        <v>0</v>
      </c>
      <c r="M76" s="129">
        <f t="shared" si="32"/>
        <v>0</v>
      </c>
      <c r="N76" s="129">
        <f t="shared" si="32"/>
        <v>0</v>
      </c>
      <c r="O76" s="129">
        <f t="shared" si="32"/>
        <v>0</v>
      </c>
      <c r="P76" s="129">
        <f t="shared" si="32"/>
        <v>0</v>
      </c>
      <c r="Q76" s="129">
        <f t="shared" si="32"/>
        <v>0</v>
      </c>
      <c r="R76" s="129">
        <f t="shared" si="32"/>
        <v>0</v>
      </c>
      <c r="S76" s="129">
        <f t="shared" si="10"/>
        <v>44280</v>
      </c>
      <c r="T76" s="129">
        <v>36364</v>
      </c>
      <c r="U76" s="129">
        <v>37000</v>
      </c>
      <c r="V76" s="129">
        <v>35000</v>
      </c>
      <c r="W76" s="129">
        <f>S76/V76-1</f>
        <v>0.26514285714285712</v>
      </c>
    </row>
    <row r="77" spans="2:24" x14ac:dyDescent="0.3">
      <c r="B77" s="109" t="s">
        <v>55</v>
      </c>
      <c r="C77" s="10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99">
        <f t="shared" si="10"/>
        <v>0</v>
      </c>
      <c r="T77" s="99"/>
      <c r="U77" s="99"/>
      <c r="V77" s="8"/>
      <c r="W77" s="9"/>
    </row>
    <row r="78" spans="2:24" x14ac:dyDescent="0.3">
      <c r="B78" s="109"/>
      <c r="C78" s="109" t="s">
        <v>56</v>
      </c>
      <c r="E78" s="137">
        <v>0</v>
      </c>
      <c r="F78" s="80"/>
      <c r="G78" s="80"/>
      <c r="H78" s="80"/>
      <c r="I78" s="80"/>
      <c r="J78" s="80">
        <v>57000</v>
      </c>
      <c r="K78" s="80"/>
      <c r="L78" s="80"/>
      <c r="M78" s="80"/>
      <c r="N78" s="80"/>
      <c r="O78" s="80"/>
      <c r="P78" s="80"/>
      <c r="Q78" s="80"/>
      <c r="R78" s="80"/>
      <c r="S78" s="11">
        <f t="shared" si="10"/>
        <v>57000</v>
      </c>
      <c r="T78" s="100"/>
      <c r="U78" s="100"/>
      <c r="V78" s="11">
        <v>35500</v>
      </c>
      <c r="W78" s="40"/>
      <c r="X78" t="s">
        <v>142</v>
      </c>
    </row>
    <row r="79" spans="2:24" s="12" customFormat="1" x14ac:dyDescent="0.3">
      <c r="B79" s="120" t="s">
        <v>57</v>
      </c>
      <c r="E79" s="129">
        <f>E78</f>
        <v>0</v>
      </c>
      <c r="F79" s="129">
        <f t="shared" ref="F79:R79" si="33">F78</f>
        <v>0</v>
      </c>
      <c r="G79" s="129">
        <f t="shared" si="33"/>
        <v>0</v>
      </c>
      <c r="H79" s="129">
        <f t="shared" si="33"/>
        <v>0</v>
      </c>
      <c r="I79" s="129">
        <f t="shared" si="33"/>
        <v>0</v>
      </c>
      <c r="J79" s="129">
        <f t="shared" si="33"/>
        <v>57000</v>
      </c>
      <c r="K79" s="129">
        <f t="shared" si="33"/>
        <v>0</v>
      </c>
      <c r="L79" s="129">
        <f t="shared" si="33"/>
        <v>0</v>
      </c>
      <c r="M79" s="129">
        <f t="shared" si="33"/>
        <v>0</v>
      </c>
      <c r="N79" s="129">
        <f t="shared" si="33"/>
        <v>0</v>
      </c>
      <c r="O79" s="129">
        <f t="shared" si="33"/>
        <v>0</v>
      </c>
      <c r="P79" s="129">
        <f t="shared" si="33"/>
        <v>0</v>
      </c>
      <c r="Q79" s="129">
        <f t="shared" si="33"/>
        <v>0</v>
      </c>
      <c r="R79" s="129">
        <f t="shared" si="33"/>
        <v>0</v>
      </c>
      <c r="S79" s="129">
        <f t="shared" si="10"/>
        <v>57000</v>
      </c>
      <c r="T79" s="129">
        <v>35572</v>
      </c>
      <c r="U79" s="129">
        <v>35572</v>
      </c>
      <c r="V79" s="129">
        <v>35500</v>
      </c>
      <c r="W79" s="129">
        <f>S79/V79-1</f>
        <v>0.60563380281690149</v>
      </c>
    </row>
    <row r="80" spans="2:24" s="12" customFormat="1" x14ac:dyDescent="0.3">
      <c r="B80" s="109" t="s">
        <v>108</v>
      </c>
      <c r="E80" s="129">
        <v>60000</v>
      </c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>
        <f t="shared" si="10"/>
        <v>60000</v>
      </c>
      <c r="T80" s="129"/>
      <c r="U80" s="129"/>
      <c r="V80" s="129">
        <v>30000</v>
      </c>
      <c r="W80" s="129"/>
      <c r="X80" s="12" t="s">
        <v>143</v>
      </c>
    </row>
    <row r="81" spans="2:24" x14ac:dyDescent="0.3">
      <c r="B81" s="109" t="s">
        <v>58</v>
      </c>
      <c r="C81" s="10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99">
        <f t="shared" si="10"/>
        <v>0</v>
      </c>
      <c r="T81" s="99"/>
      <c r="U81" s="99"/>
      <c r="V81" s="8">
        <v>0</v>
      </c>
      <c r="W81" s="9"/>
    </row>
    <row r="82" spans="2:24" x14ac:dyDescent="0.3">
      <c r="B82" s="109"/>
      <c r="C82" s="109" t="s">
        <v>59</v>
      </c>
      <c r="E82" s="3">
        <f>(3902*5)+(4058*7)+3000</f>
        <v>50916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99">
        <f t="shared" si="10"/>
        <v>50916</v>
      </c>
      <c r="T82" s="99"/>
      <c r="U82" s="99"/>
      <c r="V82" s="8">
        <v>96000</v>
      </c>
      <c r="W82" s="9"/>
    </row>
    <row r="83" spans="2:24" x14ac:dyDescent="0.3">
      <c r="B83" s="109"/>
      <c r="C83" s="109" t="s">
        <v>60</v>
      </c>
      <c r="E83" s="3">
        <v>25000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99">
        <f t="shared" si="10"/>
        <v>25000</v>
      </c>
      <c r="T83" s="99"/>
      <c r="U83" s="99"/>
      <c r="V83" s="8">
        <v>0</v>
      </c>
      <c r="W83" s="9"/>
    </row>
    <row r="84" spans="2:24" x14ac:dyDescent="0.3">
      <c r="B84" s="109"/>
      <c r="C84" s="109" t="s">
        <v>61</v>
      </c>
      <c r="E84" s="3">
        <f>66.42*12</f>
        <v>797.04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99">
        <f t="shared" si="10"/>
        <v>797.04</v>
      </c>
      <c r="T84" s="99"/>
      <c r="U84" s="99"/>
      <c r="V84" s="8">
        <v>0</v>
      </c>
      <c r="W84" s="9"/>
    </row>
    <row r="85" spans="2:24" x14ac:dyDescent="0.3">
      <c r="B85" s="109"/>
      <c r="C85" s="109" t="s">
        <v>62</v>
      </c>
      <c r="E85" s="3">
        <f>(260*12)+(325*12)</f>
        <v>7020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99">
        <f t="shared" si="10"/>
        <v>7020</v>
      </c>
      <c r="T85" s="99"/>
      <c r="U85" s="99"/>
      <c r="V85" s="8">
        <v>0</v>
      </c>
      <c r="W85" s="9"/>
    </row>
    <row r="86" spans="2:24" x14ac:dyDescent="0.3">
      <c r="B86" s="109"/>
      <c r="C86" s="109" t="s">
        <v>63</v>
      </c>
      <c r="E86" s="3">
        <v>7500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99">
        <f t="shared" si="10"/>
        <v>7500</v>
      </c>
      <c r="T86" s="99"/>
      <c r="U86" s="99"/>
      <c r="V86" s="8">
        <v>0</v>
      </c>
      <c r="W86" s="9"/>
    </row>
    <row r="87" spans="2:24" x14ac:dyDescent="0.3">
      <c r="B87" s="109"/>
      <c r="C87" s="109" t="s">
        <v>64</v>
      </c>
      <c r="E87" s="136">
        <f>(268.7*12)+(329.74*12)</f>
        <v>7181.28</v>
      </c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11">
        <f t="shared" si="10"/>
        <v>7181.28</v>
      </c>
      <c r="T87" s="100"/>
      <c r="U87" s="100"/>
      <c r="V87" s="11">
        <v>0</v>
      </c>
      <c r="W87" s="40"/>
    </row>
    <row r="88" spans="2:24" s="12" customFormat="1" x14ac:dyDescent="0.3">
      <c r="B88" s="120" t="s">
        <v>65</v>
      </c>
      <c r="E88" s="129">
        <f>SUM(E82:E87)</f>
        <v>98414.319999999992</v>
      </c>
      <c r="F88" s="129">
        <f t="shared" ref="F88:R88" si="34">SUM(F82:F87)</f>
        <v>0</v>
      </c>
      <c r="G88" s="129">
        <f t="shared" si="34"/>
        <v>0</v>
      </c>
      <c r="H88" s="129">
        <f t="shared" si="34"/>
        <v>0</v>
      </c>
      <c r="I88" s="129">
        <f t="shared" si="34"/>
        <v>0</v>
      </c>
      <c r="J88" s="129">
        <f t="shared" si="34"/>
        <v>0</v>
      </c>
      <c r="K88" s="129">
        <f t="shared" si="34"/>
        <v>0</v>
      </c>
      <c r="L88" s="129">
        <f t="shared" si="34"/>
        <v>0</v>
      </c>
      <c r="M88" s="129">
        <f t="shared" si="34"/>
        <v>0</v>
      </c>
      <c r="N88" s="129">
        <f t="shared" si="34"/>
        <v>0</v>
      </c>
      <c r="O88" s="129">
        <f t="shared" si="34"/>
        <v>0</v>
      </c>
      <c r="P88" s="129">
        <f t="shared" si="34"/>
        <v>0</v>
      </c>
      <c r="Q88" s="129">
        <f t="shared" si="34"/>
        <v>0</v>
      </c>
      <c r="R88" s="129">
        <f t="shared" si="34"/>
        <v>0</v>
      </c>
      <c r="S88" s="129">
        <f t="shared" si="10"/>
        <v>98414.319999999992</v>
      </c>
      <c r="T88" s="129">
        <v>65176</v>
      </c>
      <c r="U88" s="129">
        <v>90000</v>
      </c>
      <c r="V88" s="129">
        <v>96000</v>
      </c>
      <c r="W88" s="129">
        <f>S88/V88-1</f>
        <v>2.5149166666666556E-2</v>
      </c>
    </row>
    <row r="89" spans="2:24" x14ac:dyDescent="0.3">
      <c r="B89" s="109" t="s">
        <v>66</v>
      </c>
      <c r="C89" s="109"/>
      <c r="E89" s="3"/>
      <c r="F89" s="3"/>
      <c r="G89" s="3"/>
      <c r="H89" s="3"/>
      <c r="I89" s="3"/>
      <c r="J89" s="78"/>
      <c r="K89" s="3"/>
      <c r="L89" s="3"/>
      <c r="M89" s="3"/>
      <c r="N89" s="3"/>
      <c r="O89" s="3"/>
      <c r="P89" s="3"/>
      <c r="Q89" s="3"/>
      <c r="R89" s="3"/>
      <c r="S89" s="99">
        <f t="shared" si="10"/>
        <v>0</v>
      </c>
      <c r="T89" s="99"/>
      <c r="U89" s="99"/>
      <c r="V89" s="8"/>
      <c r="W89" s="9"/>
    </row>
    <row r="90" spans="2:24" x14ac:dyDescent="0.3">
      <c r="B90" s="109"/>
      <c r="C90" s="109" t="s">
        <v>67</v>
      </c>
      <c r="E90" s="3">
        <v>5000</v>
      </c>
      <c r="F90" s="3"/>
      <c r="G90" s="3"/>
      <c r="H90" s="3"/>
      <c r="I90" s="3"/>
      <c r="J90" s="78"/>
      <c r="K90" s="3">
        <v>250</v>
      </c>
      <c r="L90" s="3"/>
      <c r="M90" s="3"/>
      <c r="N90" s="3">
        <v>336</v>
      </c>
      <c r="O90" s="3">
        <v>250</v>
      </c>
      <c r="P90" s="3"/>
      <c r="Q90" s="3"/>
      <c r="R90" s="3"/>
      <c r="S90" s="99">
        <f t="shared" si="10"/>
        <v>5836</v>
      </c>
      <c r="T90" s="99"/>
      <c r="U90" s="99"/>
      <c r="V90" s="8">
        <v>3350</v>
      </c>
      <c r="W90" s="9"/>
      <c r="X90" t="s">
        <v>145</v>
      </c>
    </row>
    <row r="91" spans="2:24" x14ac:dyDescent="0.3">
      <c r="B91" s="109"/>
      <c r="C91" s="109" t="s">
        <v>68</v>
      </c>
      <c r="E91" s="3">
        <v>5000</v>
      </c>
      <c r="F91" s="3"/>
      <c r="G91" s="3"/>
      <c r="H91" s="3"/>
      <c r="I91" s="3"/>
      <c r="J91" s="78"/>
      <c r="K91" s="3"/>
      <c r="L91" s="3"/>
      <c r="M91" s="3"/>
      <c r="N91" s="3"/>
      <c r="O91" s="3"/>
      <c r="P91" s="3"/>
      <c r="Q91" s="3"/>
      <c r="R91" s="3"/>
      <c r="S91" s="99">
        <f t="shared" si="10"/>
        <v>5000</v>
      </c>
      <c r="T91" s="99"/>
      <c r="U91" s="99"/>
      <c r="V91" s="8">
        <v>250</v>
      </c>
      <c r="W91" s="9"/>
      <c r="X91" t="s">
        <v>144</v>
      </c>
    </row>
    <row r="92" spans="2:24" x14ac:dyDescent="0.3">
      <c r="B92" s="109"/>
      <c r="C92" s="109" t="s">
        <v>69</v>
      </c>
      <c r="E92" s="136">
        <v>2500</v>
      </c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11">
        <f t="shared" si="10"/>
        <v>2500</v>
      </c>
      <c r="T92" s="100"/>
      <c r="U92" s="100"/>
      <c r="V92" s="11">
        <v>1500</v>
      </c>
      <c r="W92" s="40"/>
    </row>
    <row r="93" spans="2:24" s="12" customFormat="1" x14ac:dyDescent="0.3">
      <c r="B93" s="120" t="s">
        <v>70</v>
      </c>
      <c r="E93" s="129">
        <f t="shared" ref="E93:R93" si="35">SUM(E90:E92)</f>
        <v>12500</v>
      </c>
      <c r="F93" s="129">
        <f t="shared" si="35"/>
        <v>0</v>
      </c>
      <c r="G93" s="129">
        <f t="shared" si="35"/>
        <v>0</v>
      </c>
      <c r="H93" s="129">
        <f t="shared" si="35"/>
        <v>0</v>
      </c>
      <c r="I93" s="129">
        <f t="shared" si="35"/>
        <v>0</v>
      </c>
      <c r="J93" s="129">
        <f t="shared" si="35"/>
        <v>0</v>
      </c>
      <c r="K93" s="129">
        <f t="shared" si="35"/>
        <v>250</v>
      </c>
      <c r="L93" s="129">
        <f t="shared" si="35"/>
        <v>0</v>
      </c>
      <c r="M93" s="129">
        <f t="shared" si="35"/>
        <v>0</v>
      </c>
      <c r="N93" s="129">
        <f t="shared" si="35"/>
        <v>336</v>
      </c>
      <c r="O93" s="129">
        <f t="shared" si="35"/>
        <v>250</v>
      </c>
      <c r="P93" s="129">
        <f t="shared" si="35"/>
        <v>0</v>
      </c>
      <c r="Q93" s="129">
        <f t="shared" si="35"/>
        <v>0</v>
      </c>
      <c r="R93" s="129">
        <f t="shared" si="35"/>
        <v>0</v>
      </c>
      <c r="S93" s="129">
        <f t="shared" si="10"/>
        <v>13336</v>
      </c>
      <c r="T93" s="129">
        <v>3394</v>
      </c>
      <c r="U93" s="129">
        <f>T93/9*12</f>
        <v>4525.333333333333</v>
      </c>
      <c r="V93" s="129">
        <v>5100</v>
      </c>
      <c r="W93" s="129">
        <f>S93/V93-1</f>
        <v>1.6149019607843136</v>
      </c>
    </row>
    <row r="94" spans="2:24" x14ac:dyDescent="0.3">
      <c r="B94" s="109" t="s">
        <v>71</v>
      </c>
      <c r="C94" s="109"/>
      <c r="E94" s="3"/>
      <c r="F94" s="3"/>
      <c r="G94" s="3"/>
      <c r="H94" s="3"/>
      <c r="I94" s="3"/>
      <c r="J94" s="78"/>
      <c r="K94" s="3"/>
      <c r="L94" s="3"/>
      <c r="M94" s="3"/>
      <c r="N94" s="3"/>
      <c r="O94" s="3"/>
      <c r="P94" s="3"/>
      <c r="Q94" s="3"/>
      <c r="R94" s="3"/>
      <c r="S94" s="99">
        <f t="shared" si="10"/>
        <v>0</v>
      </c>
      <c r="T94" s="99"/>
      <c r="U94" s="99"/>
      <c r="V94" s="8"/>
      <c r="W94" s="9"/>
    </row>
    <row r="95" spans="2:24" x14ac:dyDescent="0.3">
      <c r="B95" s="109"/>
      <c r="C95" s="109" t="s">
        <v>72</v>
      </c>
      <c r="E95" s="3"/>
      <c r="F95" s="3"/>
      <c r="G95" s="3">
        <v>7500</v>
      </c>
      <c r="H95" s="3">
        <v>2500</v>
      </c>
      <c r="I95" s="3">
        <v>5000</v>
      </c>
      <c r="J95" s="78">
        <v>7500</v>
      </c>
      <c r="K95" s="3">
        <v>0</v>
      </c>
      <c r="L95" s="3">
        <v>10000</v>
      </c>
      <c r="M95" s="66">
        <f>99535+44940+91809</f>
        <v>236284</v>
      </c>
      <c r="N95" s="3">
        <v>2500</v>
      </c>
      <c r="O95" s="3">
        <v>0</v>
      </c>
      <c r="P95" s="3">
        <v>1500</v>
      </c>
      <c r="Q95" s="3">
        <v>6320</v>
      </c>
      <c r="R95" s="3"/>
      <c r="S95" s="99">
        <f t="shared" si="10"/>
        <v>279104</v>
      </c>
      <c r="T95" s="99"/>
      <c r="U95" s="99"/>
      <c r="V95" s="8">
        <v>184258</v>
      </c>
      <c r="W95" s="9"/>
    </row>
    <row r="96" spans="2:24" x14ac:dyDescent="0.3">
      <c r="B96" s="109"/>
      <c r="C96" s="109" t="s">
        <v>73</v>
      </c>
      <c r="E96" s="136"/>
      <c r="F96" s="80"/>
      <c r="G96" s="80">
        <v>25000</v>
      </c>
      <c r="H96" s="80"/>
      <c r="I96" s="80">
        <v>10000</v>
      </c>
      <c r="J96" s="80">
        <v>33000</v>
      </c>
      <c r="K96" s="80">
        <v>500</v>
      </c>
      <c r="L96" s="80"/>
      <c r="M96" s="80"/>
      <c r="N96" s="80">
        <v>10000</v>
      </c>
      <c r="O96" s="80">
        <v>1000</v>
      </c>
      <c r="P96" s="80">
        <v>0</v>
      </c>
      <c r="Q96" s="80">
        <v>6000</v>
      </c>
      <c r="R96" s="80"/>
      <c r="S96" s="11">
        <f t="shared" si="10"/>
        <v>85500</v>
      </c>
      <c r="T96" s="100"/>
      <c r="U96" s="100"/>
      <c r="V96" s="11">
        <v>81492</v>
      </c>
      <c r="W96" s="40"/>
    </row>
    <row r="97" spans="2:24" s="12" customFormat="1" x14ac:dyDescent="0.3">
      <c r="B97" s="120" t="s">
        <v>74</v>
      </c>
      <c r="E97" s="129">
        <f t="shared" ref="E97:R97" si="36">SUM(E95:E96)</f>
        <v>0</v>
      </c>
      <c r="F97" s="129">
        <f t="shared" si="36"/>
        <v>0</v>
      </c>
      <c r="G97" s="129">
        <f t="shared" si="36"/>
        <v>32500</v>
      </c>
      <c r="H97" s="129">
        <f t="shared" si="36"/>
        <v>2500</v>
      </c>
      <c r="I97" s="129">
        <f t="shared" si="36"/>
        <v>15000</v>
      </c>
      <c r="J97" s="129">
        <f t="shared" si="36"/>
        <v>40500</v>
      </c>
      <c r="K97" s="129">
        <f t="shared" si="36"/>
        <v>500</v>
      </c>
      <c r="L97" s="129">
        <f t="shared" si="36"/>
        <v>10000</v>
      </c>
      <c r="M97" s="129">
        <f t="shared" si="36"/>
        <v>236284</v>
      </c>
      <c r="N97" s="129">
        <f t="shared" si="36"/>
        <v>12500</v>
      </c>
      <c r="O97" s="129">
        <f t="shared" si="36"/>
        <v>1000</v>
      </c>
      <c r="P97" s="129">
        <f t="shared" si="36"/>
        <v>1500</v>
      </c>
      <c r="Q97" s="129">
        <f t="shared" si="36"/>
        <v>12320</v>
      </c>
      <c r="R97" s="129">
        <f t="shared" si="36"/>
        <v>0</v>
      </c>
      <c r="S97" s="129">
        <f t="shared" si="10"/>
        <v>364604</v>
      </c>
      <c r="T97" s="129">
        <v>271397</v>
      </c>
      <c r="U97" s="129">
        <v>295000</v>
      </c>
      <c r="V97" s="129">
        <v>265750</v>
      </c>
      <c r="W97" s="129">
        <f>S97/V97-1</f>
        <v>0.37198118532455315</v>
      </c>
      <c r="X97" s="12" t="s">
        <v>146</v>
      </c>
    </row>
    <row r="98" spans="2:24" x14ac:dyDescent="0.3">
      <c r="B98" s="109" t="s">
        <v>75</v>
      </c>
      <c r="C98" s="109"/>
      <c r="E98" s="3"/>
      <c r="F98" s="3">
        <v>4000</v>
      </c>
      <c r="G98" s="3"/>
      <c r="H98" s="3"/>
      <c r="I98" s="3"/>
      <c r="J98" s="78"/>
      <c r="K98" s="3">
        <v>500</v>
      </c>
      <c r="L98" s="3">
        <v>3273</v>
      </c>
      <c r="M98" s="3"/>
      <c r="N98" s="3"/>
      <c r="O98" s="3"/>
      <c r="P98" s="3"/>
      <c r="Q98" s="3"/>
      <c r="R98" s="3"/>
      <c r="S98" s="99">
        <f t="shared" si="10"/>
        <v>7773</v>
      </c>
      <c r="T98" s="99">
        <v>4962</v>
      </c>
      <c r="U98" s="99">
        <f>T98/9*12</f>
        <v>6616</v>
      </c>
      <c r="V98" s="8">
        <v>15973</v>
      </c>
      <c r="W98" s="9"/>
    </row>
    <row r="99" spans="2:24" x14ac:dyDescent="0.3">
      <c r="B99" s="109" t="s">
        <v>76</v>
      </c>
      <c r="C99" s="109"/>
      <c r="E99" s="3"/>
      <c r="F99" s="3"/>
      <c r="G99" s="3"/>
      <c r="H99" s="3"/>
      <c r="I99" s="3"/>
      <c r="J99" s="78"/>
      <c r="K99" s="3"/>
      <c r="L99" s="3"/>
      <c r="M99" s="3"/>
      <c r="N99" s="3"/>
      <c r="O99" s="3"/>
      <c r="P99" s="3"/>
      <c r="Q99" s="3"/>
      <c r="R99" s="3"/>
      <c r="S99" s="99">
        <f t="shared" si="10"/>
        <v>0</v>
      </c>
      <c r="T99" s="99"/>
      <c r="U99" s="99"/>
      <c r="V99" s="8">
        <v>0</v>
      </c>
      <c r="W99" s="9"/>
    </row>
    <row r="100" spans="2:24" x14ac:dyDescent="0.3">
      <c r="B100" s="109"/>
      <c r="C100" s="109" t="s">
        <v>77</v>
      </c>
      <c r="E100" s="136">
        <v>5000</v>
      </c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11">
        <f t="shared" si="10"/>
        <v>5000</v>
      </c>
      <c r="T100" s="100"/>
      <c r="U100" s="100"/>
      <c r="V100" s="11">
        <v>5000</v>
      </c>
      <c r="W100" s="40"/>
    </row>
    <row r="101" spans="2:24" s="12" customFormat="1" x14ac:dyDescent="0.3">
      <c r="B101" s="120" t="s">
        <v>78</v>
      </c>
      <c r="E101" s="129">
        <f>E100</f>
        <v>5000</v>
      </c>
      <c r="F101" s="129">
        <f t="shared" ref="F101:R101" si="37">F100</f>
        <v>0</v>
      </c>
      <c r="G101" s="129">
        <f t="shared" si="37"/>
        <v>0</v>
      </c>
      <c r="H101" s="129">
        <f t="shared" si="37"/>
        <v>0</v>
      </c>
      <c r="I101" s="129">
        <f t="shared" si="37"/>
        <v>0</v>
      </c>
      <c r="J101" s="129">
        <f t="shared" si="37"/>
        <v>0</v>
      </c>
      <c r="K101" s="129">
        <f t="shared" si="37"/>
        <v>0</v>
      </c>
      <c r="L101" s="129">
        <f t="shared" si="37"/>
        <v>0</v>
      </c>
      <c r="M101" s="129">
        <f t="shared" si="37"/>
        <v>0</v>
      </c>
      <c r="N101" s="129">
        <f t="shared" si="37"/>
        <v>0</v>
      </c>
      <c r="O101" s="129">
        <f t="shared" si="37"/>
        <v>0</v>
      </c>
      <c r="P101" s="129">
        <f t="shared" si="37"/>
        <v>0</v>
      </c>
      <c r="Q101" s="129">
        <f t="shared" si="37"/>
        <v>0</v>
      </c>
      <c r="R101" s="129">
        <f t="shared" si="37"/>
        <v>0</v>
      </c>
      <c r="S101" s="129">
        <f t="shared" si="10"/>
        <v>5000</v>
      </c>
      <c r="T101" s="129">
        <v>1426</v>
      </c>
      <c r="U101" s="129">
        <f>T101/9*12</f>
        <v>1901.3333333333335</v>
      </c>
      <c r="V101" s="129">
        <v>5000</v>
      </c>
      <c r="W101" s="129">
        <f>S101/V101-1</f>
        <v>0</v>
      </c>
    </row>
    <row r="102" spans="2:24" x14ac:dyDescent="0.3">
      <c r="B102" s="109" t="s">
        <v>79</v>
      </c>
      <c r="C102" s="109"/>
      <c r="E102" s="3"/>
      <c r="F102" s="3"/>
      <c r="G102" s="3"/>
      <c r="H102" s="3"/>
      <c r="I102" s="3"/>
      <c r="J102" s="78"/>
      <c r="K102" s="3"/>
      <c r="L102" s="3"/>
      <c r="M102" s="3"/>
      <c r="N102" s="3"/>
      <c r="O102" s="3"/>
      <c r="P102" s="3"/>
      <c r="Q102" s="3"/>
      <c r="R102" s="3"/>
      <c r="S102" s="99">
        <f t="shared" ref="S102:S118" si="38">SUM(E102:R102)</f>
        <v>0</v>
      </c>
      <c r="T102" s="99"/>
      <c r="U102" s="99"/>
      <c r="V102" s="8">
        <v>0</v>
      </c>
      <c r="W102" s="9"/>
    </row>
    <row r="103" spans="2:24" x14ac:dyDescent="0.3">
      <c r="B103" s="109"/>
      <c r="C103" s="109" t="s">
        <v>80</v>
      </c>
      <c r="E103" s="66">
        <v>5000</v>
      </c>
      <c r="F103" s="3">
        <v>1000</v>
      </c>
      <c r="G103" s="3"/>
      <c r="H103" s="3"/>
      <c r="I103" s="3">
        <v>2500</v>
      </c>
      <c r="J103" s="78">
        <v>500</v>
      </c>
      <c r="K103" s="3">
        <v>0</v>
      </c>
      <c r="L103" s="3">
        <v>1250</v>
      </c>
      <c r="M103" s="3"/>
      <c r="N103" s="3">
        <v>3500</v>
      </c>
      <c r="O103" s="3">
        <v>0</v>
      </c>
      <c r="P103" s="3">
        <v>0</v>
      </c>
      <c r="Q103" s="3"/>
      <c r="R103" s="3"/>
      <c r="S103" s="99">
        <f t="shared" si="38"/>
        <v>13750</v>
      </c>
      <c r="T103" s="99"/>
      <c r="U103" s="99"/>
      <c r="V103" s="8">
        <v>16012</v>
      </c>
      <c r="W103" s="9"/>
      <c r="X103" t="s">
        <v>147</v>
      </c>
    </row>
    <row r="104" spans="2:24" x14ac:dyDescent="0.3">
      <c r="B104" s="109"/>
      <c r="C104" s="109" t="s">
        <v>81</v>
      </c>
      <c r="E104" s="3">
        <v>1500</v>
      </c>
      <c r="F104" s="3">
        <v>500</v>
      </c>
      <c r="G104" s="3"/>
      <c r="H104" s="3"/>
      <c r="I104" s="3">
        <v>500</v>
      </c>
      <c r="J104" s="78">
        <v>500</v>
      </c>
      <c r="K104" s="3">
        <v>150</v>
      </c>
      <c r="L104" s="3">
        <v>498</v>
      </c>
      <c r="M104" s="3"/>
      <c r="N104" s="3"/>
      <c r="O104" s="3">
        <v>500</v>
      </c>
      <c r="P104" s="3"/>
      <c r="Q104" s="3"/>
      <c r="R104" s="3"/>
      <c r="S104" s="99">
        <f t="shared" si="38"/>
        <v>4148</v>
      </c>
      <c r="T104" s="99"/>
      <c r="U104" s="99"/>
      <c r="V104" s="8">
        <v>4260</v>
      </c>
      <c r="W104" s="9"/>
    </row>
    <row r="105" spans="2:24" x14ac:dyDescent="0.3">
      <c r="B105" s="109"/>
      <c r="C105" s="109" t="s">
        <v>82</v>
      </c>
      <c r="E105" s="136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11">
        <f t="shared" si="38"/>
        <v>0</v>
      </c>
      <c r="T105" s="100"/>
      <c r="U105" s="100"/>
      <c r="V105" s="11">
        <v>0</v>
      </c>
      <c r="W105" s="40"/>
    </row>
    <row r="106" spans="2:24" s="12" customFormat="1" x14ac:dyDescent="0.3">
      <c r="B106" s="120" t="s">
        <v>83</v>
      </c>
      <c r="E106" s="129">
        <f t="shared" ref="E106:R106" si="39">SUM(E103:E105)</f>
        <v>6500</v>
      </c>
      <c r="F106" s="129">
        <f t="shared" si="39"/>
        <v>1500</v>
      </c>
      <c r="G106" s="129">
        <f t="shared" si="39"/>
        <v>0</v>
      </c>
      <c r="H106" s="129">
        <f t="shared" si="39"/>
        <v>0</v>
      </c>
      <c r="I106" s="129">
        <f t="shared" si="39"/>
        <v>3000</v>
      </c>
      <c r="J106" s="129">
        <f t="shared" si="39"/>
        <v>1000</v>
      </c>
      <c r="K106" s="129">
        <f t="shared" si="39"/>
        <v>150</v>
      </c>
      <c r="L106" s="129">
        <f t="shared" si="39"/>
        <v>1748</v>
      </c>
      <c r="M106" s="129">
        <f t="shared" si="39"/>
        <v>0</v>
      </c>
      <c r="N106" s="129">
        <f t="shared" si="39"/>
        <v>3500</v>
      </c>
      <c r="O106" s="129">
        <f t="shared" si="39"/>
        <v>500</v>
      </c>
      <c r="P106" s="129">
        <f t="shared" si="39"/>
        <v>0</v>
      </c>
      <c r="Q106" s="129">
        <f t="shared" si="39"/>
        <v>0</v>
      </c>
      <c r="R106" s="129">
        <f t="shared" si="39"/>
        <v>0</v>
      </c>
      <c r="S106" s="129">
        <f t="shared" si="38"/>
        <v>17898</v>
      </c>
      <c r="T106" s="129">
        <v>4095</v>
      </c>
      <c r="U106" s="129">
        <f>T106/9*12</f>
        <v>5460</v>
      </c>
      <c r="V106" s="129">
        <v>20272</v>
      </c>
      <c r="W106" s="129">
        <f>S106/V106-1</f>
        <v>-0.11710734017363855</v>
      </c>
    </row>
    <row r="107" spans="2:24" x14ac:dyDescent="0.3">
      <c r="B107" s="109" t="s">
        <v>84</v>
      </c>
      <c r="C107" s="109"/>
      <c r="E107" s="3"/>
      <c r="F107" s="3"/>
      <c r="G107" s="3"/>
      <c r="H107" s="3"/>
      <c r="I107" s="3"/>
      <c r="J107" s="78"/>
      <c r="K107" s="3"/>
      <c r="L107" s="3"/>
      <c r="M107" s="3"/>
      <c r="N107" s="3"/>
      <c r="O107" s="3"/>
      <c r="P107" s="3"/>
      <c r="Q107" s="3"/>
      <c r="R107" s="3"/>
      <c r="S107" s="99">
        <f t="shared" si="38"/>
        <v>0</v>
      </c>
      <c r="T107" s="99"/>
      <c r="U107" s="99"/>
      <c r="V107" s="8">
        <v>0</v>
      </c>
      <c r="W107" s="9"/>
    </row>
    <row r="108" spans="2:24" x14ac:dyDescent="0.3">
      <c r="B108" s="109"/>
      <c r="C108" s="109" t="s">
        <v>85</v>
      </c>
      <c r="E108" s="66">
        <v>0</v>
      </c>
      <c r="F108" s="78"/>
      <c r="G108" s="78"/>
      <c r="H108" s="78"/>
      <c r="I108" s="78">
        <v>1085</v>
      </c>
      <c r="J108" s="78"/>
      <c r="K108" s="78"/>
      <c r="L108" s="78"/>
      <c r="M108" s="78"/>
      <c r="N108" s="78"/>
      <c r="O108" s="78">
        <v>109</v>
      </c>
      <c r="P108" s="78">
        <v>0</v>
      </c>
      <c r="Q108" s="78"/>
      <c r="R108" s="3"/>
      <c r="S108" s="99">
        <f t="shared" si="38"/>
        <v>1194</v>
      </c>
      <c r="T108" s="99"/>
      <c r="U108" s="99"/>
      <c r="V108" s="8">
        <v>0</v>
      </c>
      <c r="W108" s="9"/>
    </row>
    <row r="109" spans="2:24" x14ac:dyDescent="0.3">
      <c r="B109" s="109"/>
      <c r="C109" s="109" t="s">
        <v>86</v>
      </c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3"/>
      <c r="S109" s="99">
        <f t="shared" si="38"/>
        <v>0</v>
      </c>
      <c r="T109" s="99"/>
      <c r="U109" s="99"/>
      <c r="V109" s="8">
        <v>0</v>
      </c>
      <c r="W109" s="9"/>
    </row>
    <row r="110" spans="2:24" x14ac:dyDescent="0.3">
      <c r="B110" s="109"/>
      <c r="C110" s="109" t="s">
        <v>87</v>
      </c>
      <c r="E110" s="136">
        <v>3500</v>
      </c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11">
        <f t="shared" si="38"/>
        <v>3500</v>
      </c>
      <c r="T110" s="100"/>
      <c r="U110" s="100"/>
      <c r="V110" s="11">
        <v>3500</v>
      </c>
      <c r="W110" s="40"/>
    </row>
    <row r="111" spans="2:24" s="12" customFormat="1" x14ac:dyDescent="0.3">
      <c r="B111" s="120" t="s">
        <v>88</v>
      </c>
      <c r="E111" s="129">
        <f>SUM(E108:E110)</f>
        <v>3500</v>
      </c>
      <c r="F111" s="129">
        <f t="shared" ref="F111:R111" si="40">SUM(F108:F110)</f>
        <v>0</v>
      </c>
      <c r="G111" s="129">
        <f t="shared" si="40"/>
        <v>0</v>
      </c>
      <c r="H111" s="129">
        <f t="shared" si="40"/>
        <v>0</v>
      </c>
      <c r="I111" s="129">
        <f t="shared" si="40"/>
        <v>1085</v>
      </c>
      <c r="J111" s="129">
        <f t="shared" si="40"/>
        <v>0</v>
      </c>
      <c r="K111" s="129">
        <f t="shared" si="40"/>
        <v>0</v>
      </c>
      <c r="L111" s="129">
        <f t="shared" si="40"/>
        <v>0</v>
      </c>
      <c r="M111" s="129">
        <f t="shared" si="40"/>
        <v>0</v>
      </c>
      <c r="N111" s="129">
        <f t="shared" si="40"/>
        <v>0</v>
      </c>
      <c r="O111" s="129">
        <f t="shared" si="40"/>
        <v>109</v>
      </c>
      <c r="P111" s="129">
        <f t="shared" si="40"/>
        <v>0</v>
      </c>
      <c r="Q111" s="129">
        <f t="shared" si="40"/>
        <v>0</v>
      </c>
      <c r="R111" s="129">
        <f t="shared" si="40"/>
        <v>0</v>
      </c>
      <c r="S111" s="129">
        <f t="shared" si="38"/>
        <v>4694</v>
      </c>
      <c r="T111" s="129">
        <v>4235</v>
      </c>
      <c r="U111" s="129">
        <f>T111/9*12</f>
        <v>5646.6666666666661</v>
      </c>
      <c r="V111" s="129">
        <v>3500</v>
      </c>
      <c r="W111" s="129">
        <f>S111/V111-1</f>
        <v>0.34114285714285719</v>
      </c>
    </row>
    <row r="112" spans="2:24" s="143" customFormat="1" hidden="1" x14ac:dyDescent="0.3">
      <c r="B112" s="144" t="s">
        <v>89</v>
      </c>
      <c r="C112" s="145"/>
      <c r="D112" s="145"/>
      <c r="E112" s="146">
        <f>-SUM(I112:R112)</f>
        <v>-120261.16875</v>
      </c>
      <c r="F112" s="146"/>
      <c r="G112" s="146"/>
      <c r="H112" s="146"/>
      <c r="I112" s="146">
        <f>0.1*I45</f>
        <v>15000</v>
      </c>
      <c r="J112" s="146">
        <v>30427</v>
      </c>
      <c r="K112" s="146">
        <v>2960</v>
      </c>
      <c r="L112" s="146">
        <f>0.1*L45</f>
        <v>7150</v>
      </c>
      <c r="M112" s="146">
        <v>12000</v>
      </c>
      <c r="N112" s="146">
        <f>0.075*N45+874</f>
        <v>5491</v>
      </c>
      <c r="O112" s="146">
        <f>0.1*O45</f>
        <v>3839</v>
      </c>
      <c r="P112" s="146">
        <f>0.1*P45</f>
        <v>3700</v>
      </c>
      <c r="Q112" s="146"/>
      <c r="R112" s="146">
        <f>R45-R58</f>
        <v>39694.168749999997</v>
      </c>
      <c r="S112" s="146">
        <f t="shared" si="38"/>
        <v>0</v>
      </c>
      <c r="T112" s="146"/>
      <c r="U112" s="146"/>
      <c r="V112" s="146">
        <v>0</v>
      </c>
      <c r="W112" s="146"/>
    </row>
    <row r="113" spans="2:24" s="12" customFormat="1" x14ac:dyDescent="0.3">
      <c r="B113" s="109" t="s">
        <v>90</v>
      </c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>
        <f t="shared" si="38"/>
        <v>0</v>
      </c>
      <c r="T113" s="129"/>
      <c r="U113" s="129"/>
      <c r="V113" s="129">
        <v>0</v>
      </c>
      <c r="W113" s="129"/>
    </row>
    <row r="114" spans="2:24" ht="15" thickBot="1" x14ac:dyDescent="0.35">
      <c r="B114" s="109"/>
      <c r="C114" s="109"/>
      <c r="E114" s="55"/>
      <c r="F114" s="55"/>
      <c r="G114" s="55"/>
      <c r="H114" s="55"/>
      <c r="I114" s="55"/>
      <c r="J114" s="104"/>
      <c r="K114" s="55"/>
      <c r="L114" s="55"/>
      <c r="M114" s="55"/>
      <c r="N114" s="55"/>
      <c r="O114" s="55"/>
      <c r="P114" s="55"/>
      <c r="Q114" s="55"/>
      <c r="R114" s="55"/>
      <c r="S114" s="47"/>
      <c r="T114" s="105"/>
      <c r="U114" s="105"/>
      <c r="V114" s="47"/>
      <c r="W114" s="71"/>
    </row>
    <row r="115" spans="2:24" ht="15" thickBot="1" x14ac:dyDescent="0.35">
      <c r="B115" s="140" t="s">
        <v>91</v>
      </c>
      <c r="C115" s="141"/>
      <c r="D115" s="141"/>
      <c r="E115" s="128">
        <f>E111+E106+E101+E97+E93+E88+E80+E79+E76+E73+E68+E64+E58+E98</f>
        <v>401714.17625000002</v>
      </c>
      <c r="F115" s="128">
        <f>F111+F106+F101+F97+F93+F88+F80+F79+F76+F73+F68+F64+F58+F98</f>
        <v>75930.55750000001</v>
      </c>
      <c r="G115" s="128">
        <f t="shared" ref="G115:R115" si="41">G111+G106+G101+G97+G93+G88+G80+G79+G76+G73+G68+G64+G58+G98</f>
        <v>152496.54692499997</v>
      </c>
      <c r="H115" s="128">
        <f t="shared" si="41"/>
        <v>18369.0625</v>
      </c>
      <c r="I115" s="128">
        <f t="shared" si="41"/>
        <v>118686.30680625</v>
      </c>
      <c r="J115" s="128">
        <f t="shared" si="41"/>
        <v>324810.46562500001</v>
      </c>
      <c r="K115" s="128">
        <f t="shared" si="41"/>
        <v>27791.178124999999</v>
      </c>
      <c r="L115" s="128">
        <f t="shared" si="41"/>
        <v>67622.880825</v>
      </c>
      <c r="M115" s="128">
        <f t="shared" si="41"/>
        <v>248306.11562500001</v>
      </c>
      <c r="N115" s="128">
        <f t="shared" si="41"/>
        <v>56398.200000000004</v>
      </c>
      <c r="O115" s="128">
        <f t="shared" si="41"/>
        <v>55919.311312500002</v>
      </c>
      <c r="P115" s="128">
        <f t="shared" si="41"/>
        <v>33658.75</v>
      </c>
      <c r="Q115" s="128">
        <f t="shared" si="41"/>
        <v>111571.19375000001</v>
      </c>
      <c r="R115" s="128">
        <f t="shared" si="41"/>
        <v>36305.831250000003</v>
      </c>
      <c r="S115" s="128">
        <f t="shared" si="38"/>
        <v>1729580.5764937503</v>
      </c>
      <c r="T115" s="128">
        <f>SUM(T79:T111)+T76+T73+T68+T64+T58</f>
        <v>552099</v>
      </c>
      <c r="U115" s="128">
        <f>SUM(U79:U111)+U76+U73+U68+U64+U58</f>
        <v>621461.33333333326</v>
      </c>
      <c r="V115" s="47">
        <v>1605997.1170312499</v>
      </c>
      <c r="W115" s="70">
        <f>S115/V115-1</f>
        <v>7.6951233692716281E-2</v>
      </c>
    </row>
    <row r="116" spans="2:24" s="147" customFormat="1" ht="15" thickTop="1" x14ac:dyDescent="0.3">
      <c r="B116" s="148"/>
      <c r="C116" s="147" t="s">
        <v>169</v>
      </c>
      <c r="E116" s="153">
        <f>E115-SUM(E51:E57,E60:E63,E66:E67,E70:E72,E75,E78,E80,E82:E87,E90:E92,E95:E96,E98,E100,E103:E105,E108:E110)</f>
        <v>0</v>
      </c>
      <c r="F116" s="153">
        <f>F115-SUM(F51:F57,F60:F63,F66:F67,F70:F72,F75,F78,F80,F82:F87,F90:F92,F95:F96,F98,F100,F103:F105,F108:F110)</f>
        <v>0</v>
      </c>
      <c r="G116" s="153">
        <f t="shared" ref="G116:S116" si="42">G115-SUM(G51:G57,G60:G63,G66:G67,G70:G72,G75,G78,G80,G82:G87,G90:G92,G95:G96,G98,G100,G103:G105,G108:G110)</f>
        <v>0</v>
      </c>
      <c r="H116" s="153">
        <f t="shared" si="42"/>
        <v>0</v>
      </c>
      <c r="I116" s="153">
        <f t="shared" si="42"/>
        <v>0</v>
      </c>
      <c r="J116" s="153">
        <f t="shared" si="42"/>
        <v>0</v>
      </c>
      <c r="K116" s="153">
        <f t="shared" si="42"/>
        <v>0</v>
      </c>
      <c r="L116" s="153">
        <f t="shared" si="42"/>
        <v>0</v>
      </c>
      <c r="M116" s="153">
        <f t="shared" si="42"/>
        <v>0</v>
      </c>
      <c r="N116" s="153">
        <f t="shared" si="42"/>
        <v>0</v>
      </c>
      <c r="O116" s="153">
        <f t="shared" si="42"/>
        <v>0</v>
      </c>
      <c r="P116" s="153">
        <f t="shared" si="42"/>
        <v>0</v>
      </c>
      <c r="Q116" s="153">
        <f t="shared" si="42"/>
        <v>0</v>
      </c>
      <c r="R116" s="153">
        <f t="shared" si="42"/>
        <v>0</v>
      </c>
      <c r="S116" s="153">
        <f t="shared" si="42"/>
        <v>0</v>
      </c>
      <c r="T116" s="153"/>
      <c r="U116" s="153"/>
      <c r="V116" s="154"/>
      <c r="W116" s="155"/>
    </row>
    <row r="118" spans="2:24" s="12" customFormat="1" ht="15" thickBot="1" x14ac:dyDescent="0.35">
      <c r="B118" s="242" t="s">
        <v>133</v>
      </c>
      <c r="C118" s="242"/>
      <c r="D118" s="156"/>
      <c r="E118" s="159">
        <f t="shared" ref="E118:U118" si="43">E45-E115</f>
        <v>19363.823749999981</v>
      </c>
      <c r="F118" s="159">
        <f t="shared" si="43"/>
        <v>-75930.55750000001</v>
      </c>
      <c r="G118" s="159">
        <f t="shared" si="43"/>
        <v>-48496.546924999973</v>
      </c>
      <c r="H118" s="159">
        <f t="shared" si="43"/>
        <v>-16869.0625</v>
      </c>
      <c r="I118" s="159">
        <f t="shared" si="43"/>
        <v>31313.693193750005</v>
      </c>
      <c r="J118" s="159">
        <f t="shared" si="43"/>
        <v>40189.534374999988</v>
      </c>
      <c r="K118" s="159">
        <f t="shared" si="43"/>
        <v>-12791.178124999999</v>
      </c>
      <c r="L118" s="159">
        <f t="shared" si="43"/>
        <v>3877.1191749999998</v>
      </c>
      <c r="M118" s="159">
        <f t="shared" si="43"/>
        <v>25693.884374999994</v>
      </c>
      <c r="N118" s="159">
        <f t="shared" si="43"/>
        <v>5161.7999999999956</v>
      </c>
      <c r="O118" s="159">
        <f t="shared" si="43"/>
        <v>-17529.311312500002</v>
      </c>
      <c r="P118" s="159">
        <f t="shared" si="43"/>
        <v>3341.25</v>
      </c>
      <c r="Q118" s="159">
        <f t="shared" si="43"/>
        <v>-36571.193750000006</v>
      </c>
      <c r="R118" s="159">
        <f t="shared" si="43"/>
        <v>39694.168749999997</v>
      </c>
      <c r="S118" s="160">
        <f t="shared" si="38"/>
        <v>-39552.576493750021</v>
      </c>
      <c r="T118" s="160">
        <f t="shared" si="43"/>
        <v>1176937</v>
      </c>
      <c r="U118" s="160">
        <f t="shared" si="43"/>
        <v>1391444.0000000002</v>
      </c>
      <c r="V118" s="157">
        <v>18810.882968750084</v>
      </c>
      <c r="W118" s="158">
        <f>S118/V118-1</f>
        <v>-3.1026432708904439</v>
      </c>
    </row>
    <row r="119" spans="2:24" ht="15" thickTop="1" x14ac:dyDescent="0.3">
      <c r="B119" s="109" t="s">
        <v>124</v>
      </c>
      <c r="E119" s="3"/>
      <c r="F119" s="3"/>
      <c r="G119" s="3"/>
      <c r="H119" s="3"/>
      <c r="I119" s="83">
        <f>I118/I45</f>
        <v>0.20875795462500002</v>
      </c>
      <c r="J119" s="83">
        <f t="shared" ref="J119:R119" si="44">J118/J45</f>
        <v>0.11010831335616435</v>
      </c>
      <c r="K119" s="84">
        <f t="shared" si="44"/>
        <v>-0.85274520833333323</v>
      </c>
      <c r="L119" s="83">
        <f t="shared" si="44"/>
        <v>5.4225443006993002E-2</v>
      </c>
      <c r="M119" s="83">
        <f t="shared" si="44"/>
        <v>9.3773300638686108E-2</v>
      </c>
      <c r="N119" s="83">
        <f t="shared" si="44"/>
        <v>8.3849902534112994E-2</v>
      </c>
      <c r="O119" s="83">
        <f t="shared" si="44"/>
        <v>-0.45661139131284195</v>
      </c>
      <c r="P119" s="83">
        <f t="shared" si="44"/>
        <v>9.0304054054054048E-2</v>
      </c>
      <c r="Q119" s="83">
        <f t="shared" si="44"/>
        <v>-0.48761591666666676</v>
      </c>
      <c r="R119" s="83">
        <f t="shared" si="44"/>
        <v>0.52229169407894738</v>
      </c>
      <c r="S119" s="3"/>
      <c r="T119" s="3">
        <f>T118-520000</f>
        <v>656937</v>
      </c>
      <c r="U119" s="3">
        <f>U118-520000</f>
        <v>871444.00000000023</v>
      </c>
      <c r="V119" s="6"/>
    </row>
    <row r="120" spans="2:24" x14ac:dyDescent="0.3">
      <c r="B120" s="240"/>
      <c r="C120" s="240"/>
      <c r="D120" s="10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109"/>
    </row>
    <row r="121" spans="2:24" x14ac:dyDescent="0.3">
      <c r="B121" s="109" t="s">
        <v>132</v>
      </c>
      <c r="E121" s="6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66"/>
      <c r="T121" s="3"/>
      <c r="U121" s="3"/>
      <c r="X121" t="s">
        <v>149</v>
      </c>
    </row>
    <row r="122" spans="2:24" x14ac:dyDescent="0.3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78"/>
      <c r="T122" s="3"/>
      <c r="U122" s="3"/>
    </row>
    <row r="123" spans="2:24" x14ac:dyDescent="0.3">
      <c r="B123" s="109" t="s">
        <v>107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66"/>
      <c r="T123" s="3"/>
      <c r="U123" s="3"/>
    </row>
  </sheetData>
  <mergeCells count="6">
    <mergeCell ref="S3:S4"/>
    <mergeCell ref="V3:V4"/>
    <mergeCell ref="W3:W4"/>
    <mergeCell ref="B120:C120"/>
    <mergeCell ref="B3:D3"/>
    <mergeCell ref="B118:C118"/>
  </mergeCells>
  <pageMargins left="0.7" right="0.7" top="0.75" bottom="0.75" header="0.3" footer="0.3"/>
  <pageSetup scale="68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C9C6-74F1-4D58-9EEE-39D0A246CF66}">
  <sheetPr>
    <tabColor theme="9" tint="-0.499984740745262"/>
  </sheetPr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E4B1-FE37-485E-81D1-76A9949C6BB3}">
  <sheetPr>
    <tabColor theme="9" tint="0.39997558519241921"/>
    <pageSetUpPr fitToPage="1"/>
  </sheetPr>
  <dimension ref="A1:W105"/>
  <sheetViews>
    <sheetView zoomScale="80" zoomScaleNormal="80" workbookViewId="0">
      <pane xSplit="3" ySplit="19" topLeftCell="L78" activePane="bottomRight" state="frozen"/>
      <selection pane="topRight" activeCell="D1" sqref="D1"/>
      <selection pane="bottomLeft" activeCell="A20" sqref="A20"/>
      <selection pane="bottomRight" activeCell="R110" sqref="R110"/>
    </sheetView>
  </sheetViews>
  <sheetFormatPr defaultRowHeight="14.4" outlineLevelCol="1" x14ac:dyDescent="0.3"/>
  <cols>
    <col min="1" max="1" width="12.88671875" customWidth="1"/>
    <col min="2" max="2" width="29" customWidth="1"/>
    <col min="3" max="3" width="13" customWidth="1"/>
    <col min="4" max="4" width="30.88671875" hidden="1" customWidth="1" outlineLevel="1"/>
    <col min="5" max="5" width="30.33203125" hidden="1" customWidth="1" outlineLevel="1"/>
    <col min="6" max="7" width="27.109375" hidden="1" customWidth="1" outlineLevel="1"/>
    <col min="8" max="8" width="27.88671875" hidden="1" customWidth="1" outlineLevel="1"/>
    <col min="9" max="9" width="26.33203125" hidden="1" customWidth="1" outlineLevel="1"/>
    <col min="10" max="10" width="30.33203125" hidden="1" customWidth="1" outlineLevel="1"/>
    <col min="11" max="11" width="28.44140625" hidden="1" customWidth="1" outlineLevel="1"/>
    <col min="12" max="12" width="27.44140625" hidden="1" customWidth="1" outlineLevel="1"/>
    <col min="13" max="13" width="25.5546875" hidden="1" customWidth="1" outlineLevel="1"/>
    <col min="14" max="14" width="23.5546875" hidden="1" customWidth="1" outlineLevel="1"/>
    <col min="15" max="16" width="22.33203125" hidden="1" customWidth="1" outlineLevel="1"/>
    <col min="17" max="17" width="25.33203125" hidden="1" customWidth="1" outlineLevel="1"/>
    <col min="18" max="18" width="27.5546875" customWidth="1" collapsed="1"/>
    <col min="19" max="19" width="19.88671875" hidden="1" customWidth="1"/>
    <col min="20" max="20" width="19.88671875" customWidth="1"/>
    <col min="21" max="21" width="14.6640625" hidden="1" customWidth="1"/>
    <col min="22" max="22" width="10.109375" customWidth="1"/>
    <col min="23" max="23" width="65.44140625" customWidth="1"/>
  </cols>
  <sheetData>
    <row r="1" spans="1:23" ht="18" x14ac:dyDescent="0.35">
      <c r="A1" s="75" t="s">
        <v>125</v>
      </c>
      <c r="B1" s="14"/>
      <c r="C1" s="14"/>
      <c r="D1" s="38"/>
      <c r="E1" s="57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27" t="s">
        <v>120</v>
      </c>
      <c r="S1" s="35"/>
      <c r="T1" s="35"/>
      <c r="U1" s="225" t="s">
        <v>121</v>
      </c>
      <c r="V1" s="230" t="s">
        <v>135</v>
      </c>
    </row>
    <row r="2" spans="1:23" ht="28.2" thickBot="1" x14ac:dyDescent="0.35">
      <c r="A2" s="14"/>
      <c r="D2" s="15" t="s">
        <v>119</v>
      </c>
      <c r="E2" s="37" t="s">
        <v>118</v>
      </c>
      <c r="F2" s="15" t="s">
        <v>116</v>
      </c>
      <c r="G2" s="36" t="s">
        <v>117</v>
      </c>
      <c r="H2" s="15" t="s">
        <v>0</v>
      </c>
      <c r="I2" s="15" t="s">
        <v>1</v>
      </c>
      <c r="J2" s="15" t="s">
        <v>113</v>
      </c>
      <c r="K2" s="15" t="s">
        <v>3</v>
      </c>
      <c r="L2" s="15" t="s">
        <v>4</v>
      </c>
      <c r="M2" s="15" t="s">
        <v>5</v>
      </c>
      <c r="N2" s="15" t="s">
        <v>6</v>
      </c>
      <c r="O2" s="15" t="s">
        <v>114</v>
      </c>
      <c r="P2" s="15" t="s">
        <v>115</v>
      </c>
      <c r="Q2" s="15" t="s">
        <v>7</v>
      </c>
      <c r="R2" s="228"/>
      <c r="S2" s="56" t="s">
        <v>122</v>
      </c>
      <c r="T2" s="56" t="s">
        <v>123</v>
      </c>
      <c r="U2" s="226"/>
      <c r="V2" s="231"/>
    </row>
    <row r="3" spans="1:23" ht="15.6" hidden="1" x14ac:dyDescent="0.3">
      <c r="A3" s="14" t="s">
        <v>8</v>
      </c>
      <c r="B3" s="14" t="s">
        <v>109</v>
      </c>
      <c r="C3" s="1" t="s">
        <v>110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6"/>
      <c r="S3" s="16"/>
      <c r="T3" s="16"/>
      <c r="U3" s="7"/>
      <c r="V3" s="9"/>
    </row>
    <row r="4" spans="1:23" hidden="1" x14ac:dyDescent="0.3">
      <c r="A4" s="14" t="s">
        <v>9</v>
      </c>
      <c r="B4" s="17">
        <v>159960</v>
      </c>
      <c r="C4" s="44">
        <v>164500</v>
      </c>
      <c r="D4" s="18">
        <f>0.3*C4</f>
        <v>49350</v>
      </c>
      <c r="E4" s="18"/>
      <c r="F4" s="18"/>
      <c r="G4" s="18"/>
      <c r="H4" s="18">
        <f>0.075*C4</f>
        <v>12337.5</v>
      </c>
      <c r="I4" s="18">
        <f>0.275*C4</f>
        <v>45237.500000000007</v>
      </c>
      <c r="J4" s="18"/>
      <c r="K4" s="18"/>
      <c r="L4" s="18"/>
      <c r="M4" s="18"/>
      <c r="N4" s="18">
        <f>0.1*C4</f>
        <v>16450</v>
      </c>
      <c r="O4" s="18"/>
      <c r="P4" s="18">
        <f>0.1*C4</f>
        <v>16450</v>
      </c>
      <c r="Q4" s="18">
        <f>0.15*C4</f>
        <v>24675</v>
      </c>
      <c r="R4" s="19">
        <f t="shared" ref="R4:R12" si="0">SUM(D4:Q4)</f>
        <v>164500</v>
      </c>
      <c r="S4" s="19"/>
      <c r="T4" s="19"/>
      <c r="U4" s="8"/>
      <c r="V4" s="9"/>
      <c r="W4" s="77"/>
    </row>
    <row r="5" spans="1:23" hidden="1" x14ac:dyDescent="0.3">
      <c r="A5" s="14" t="s">
        <v>10</v>
      </c>
      <c r="B5" s="17">
        <v>69187.5</v>
      </c>
      <c r="C5" s="44">
        <v>75000</v>
      </c>
      <c r="D5" s="18"/>
      <c r="E5" s="18"/>
      <c r="F5" s="18">
        <f>0.6*C5</f>
        <v>45000</v>
      </c>
      <c r="G5" s="18"/>
      <c r="H5" s="18">
        <f>0.1*C5</f>
        <v>7500</v>
      </c>
      <c r="I5" s="18"/>
      <c r="J5" s="18"/>
      <c r="K5" s="18">
        <f>0.3*C5</f>
        <v>22500</v>
      </c>
      <c r="L5" s="18"/>
      <c r="M5" s="18"/>
      <c r="N5" s="18"/>
      <c r="O5" s="18"/>
      <c r="P5" s="18"/>
      <c r="Q5" s="18"/>
      <c r="R5" s="19">
        <f t="shared" si="0"/>
        <v>75000</v>
      </c>
      <c r="S5" s="19"/>
      <c r="T5" s="19"/>
      <c r="U5" s="8"/>
      <c r="V5" s="9"/>
      <c r="W5" s="77"/>
    </row>
    <row r="6" spans="1:23" hidden="1" x14ac:dyDescent="0.3">
      <c r="A6" s="14" t="s">
        <v>111</v>
      </c>
      <c r="B6" s="17">
        <v>62000</v>
      </c>
      <c r="C6" s="44">
        <f>(1+(2/12*0.027))*B6</f>
        <v>62279</v>
      </c>
      <c r="D6" s="18"/>
      <c r="E6" s="18"/>
      <c r="F6" s="18">
        <f>0.7*C6</f>
        <v>43595.299999999996</v>
      </c>
      <c r="G6" s="18"/>
      <c r="H6" s="18"/>
      <c r="I6" s="18"/>
      <c r="J6" s="18"/>
      <c r="K6" s="18">
        <f>0.3*C6</f>
        <v>18683.7</v>
      </c>
      <c r="L6" s="18"/>
      <c r="M6" s="18"/>
      <c r="N6" s="18"/>
      <c r="O6" s="18"/>
      <c r="P6" s="18"/>
      <c r="Q6" s="18"/>
      <c r="R6" s="19">
        <f t="shared" si="0"/>
        <v>62279</v>
      </c>
      <c r="S6" s="19"/>
      <c r="T6" s="19"/>
      <c r="U6" s="8"/>
      <c r="V6" s="9"/>
      <c r="W6" s="77"/>
    </row>
    <row r="7" spans="1:23" hidden="1" x14ac:dyDescent="0.3">
      <c r="A7" s="14" t="s">
        <v>11</v>
      </c>
      <c r="B7" s="17">
        <v>72500</v>
      </c>
      <c r="C7" s="44">
        <v>75000</v>
      </c>
      <c r="D7" s="18">
        <v>0</v>
      </c>
      <c r="E7" s="18"/>
      <c r="F7" s="18"/>
      <c r="G7" s="18">
        <f>0.15*C7</f>
        <v>11250</v>
      </c>
      <c r="H7" s="18"/>
      <c r="I7" s="18">
        <f>0.35*C7</f>
        <v>26250</v>
      </c>
      <c r="J7" s="18">
        <f>0.15*C7</f>
        <v>11250</v>
      </c>
      <c r="K7" s="18"/>
      <c r="L7" s="18"/>
      <c r="M7" s="18"/>
      <c r="N7" s="18">
        <f>0.05*C7</f>
        <v>3750</v>
      </c>
      <c r="O7" s="18">
        <f>0.2*C7</f>
        <v>15000</v>
      </c>
      <c r="P7" s="18">
        <f>0.05*C7</f>
        <v>3750</v>
      </c>
      <c r="Q7" s="18">
        <f>0.05*C7</f>
        <v>3750</v>
      </c>
      <c r="R7" s="19">
        <f t="shared" si="0"/>
        <v>75000</v>
      </c>
      <c r="S7" s="19"/>
      <c r="T7" s="19"/>
      <c r="U7" s="8"/>
      <c r="V7" s="9"/>
      <c r="W7" s="77"/>
    </row>
    <row r="8" spans="1:23" hidden="1" x14ac:dyDescent="0.3">
      <c r="A8" s="14" t="s">
        <v>12</v>
      </c>
      <c r="B8" s="17">
        <v>61000</v>
      </c>
      <c r="C8" s="44">
        <v>61500</v>
      </c>
      <c r="D8" s="18"/>
      <c r="E8" s="18"/>
      <c r="F8" s="18"/>
      <c r="G8" s="18"/>
      <c r="H8" s="18">
        <f>0.95*C8</f>
        <v>58425</v>
      </c>
      <c r="I8" s="18"/>
      <c r="J8" s="18"/>
      <c r="K8" s="18"/>
      <c r="L8" s="18"/>
      <c r="M8" s="18"/>
      <c r="N8" s="18">
        <f>0.05*C8</f>
        <v>3075</v>
      </c>
      <c r="O8" s="18"/>
      <c r="P8" s="18"/>
      <c r="Q8" s="18"/>
      <c r="R8" s="19">
        <f t="shared" si="0"/>
        <v>61500</v>
      </c>
      <c r="S8" s="19"/>
      <c r="T8" s="19"/>
      <c r="U8" s="8"/>
      <c r="V8" s="9"/>
      <c r="W8" s="77"/>
    </row>
    <row r="9" spans="1:23" hidden="1" x14ac:dyDescent="0.3">
      <c r="A9" s="14" t="s">
        <v>94</v>
      </c>
      <c r="B9" s="17">
        <v>61500</v>
      </c>
      <c r="C9" s="44">
        <v>63500</v>
      </c>
      <c r="D9" s="18">
        <f>0.85*C9</f>
        <v>53975</v>
      </c>
      <c r="E9" s="18"/>
      <c r="F9" s="18"/>
      <c r="G9" s="18"/>
      <c r="H9" s="18"/>
      <c r="I9" s="18">
        <f>0.15*C9</f>
        <v>9525</v>
      </c>
      <c r="J9" s="18"/>
      <c r="K9" s="18"/>
      <c r="L9" s="18"/>
      <c r="M9" s="18"/>
      <c r="N9" s="18"/>
      <c r="O9" s="18"/>
      <c r="P9" s="18"/>
      <c r="Q9" s="18"/>
      <c r="R9" s="19">
        <f t="shared" si="0"/>
        <v>63500</v>
      </c>
      <c r="S9" s="19"/>
      <c r="T9" s="19"/>
      <c r="U9" s="8"/>
      <c r="V9" s="9"/>
      <c r="W9" s="77"/>
    </row>
    <row r="10" spans="1:23" hidden="1" x14ac:dyDescent="0.3">
      <c r="A10" s="14" t="s">
        <v>13</v>
      </c>
      <c r="B10" s="17">
        <v>66100.125</v>
      </c>
      <c r="C10" s="44">
        <v>69000</v>
      </c>
      <c r="D10" s="18"/>
      <c r="E10" s="18">
        <f>0.55*C10</f>
        <v>37950</v>
      </c>
      <c r="F10" s="18"/>
      <c r="G10" s="18"/>
      <c r="H10" s="18">
        <f>0.1*C10</f>
        <v>6900</v>
      </c>
      <c r="I10" s="18">
        <f>0.3*C10</f>
        <v>20700</v>
      </c>
      <c r="J10" s="18"/>
      <c r="K10" s="18"/>
      <c r="L10" s="18"/>
      <c r="M10" s="18"/>
      <c r="N10" s="18"/>
      <c r="O10" s="18"/>
      <c r="P10" s="18">
        <f>0.05*C10</f>
        <v>3450</v>
      </c>
      <c r="Q10" s="18"/>
      <c r="R10" s="19">
        <f t="shared" si="0"/>
        <v>69000</v>
      </c>
      <c r="S10" s="19"/>
      <c r="T10" s="19"/>
      <c r="U10" s="8"/>
      <c r="V10" s="9"/>
      <c r="W10" s="77"/>
    </row>
    <row r="11" spans="1:23" hidden="1" x14ac:dyDescent="0.3">
      <c r="A11" s="14" t="s">
        <v>93</v>
      </c>
      <c r="B11" s="17">
        <v>61100</v>
      </c>
      <c r="C11" s="44">
        <v>62750</v>
      </c>
      <c r="D11" s="18"/>
      <c r="E11" s="18"/>
      <c r="F11" s="18"/>
      <c r="G11" s="18"/>
      <c r="H11" s="18"/>
      <c r="I11" s="18">
        <f>0.4*C11</f>
        <v>25100</v>
      </c>
      <c r="J11" s="18">
        <f>0.15*C11</f>
        <v>9412.5</v>
      </c>
      <c r="L11" s="18">
        <f>0.15*C11</f>
        <v>9412.5</v>
      </c>
      <c r="M11" s="18"/>
      <c r="N11" s="18"/>
      <c r="O11" s="18"/>
      <c r="P11" s="18">
        <f>0.3*C11</f>
        <v>18825</v>
      </c>
      <c r="Q11" s="18"/>
      <c r="R11" s="19">
        <f t="shared" si="0"/>
        <v>62750</v>
      </c>
      <c r="S11" s="19"/>
      <c r="T11" s="19"/>
      <c r="U11" s="8"/>
      <c r="V11" s="9"/>
      <c r="W11" s="77"/>
    </row>
    <row r="12" spans="1:23" hidden="1" x14ac:dyDescent="0.3">
      <c r="A12" s="14" t="s">
        <v>112</v>
      </c>
      <c r="B12" s="17">
        <v>52000</v>
      </c>
      <c r="C12" s="45">
        <v>34667</v>
      </c>
      <c r="D12" s="20"/>
      <c r="E12" s="20"/>
      <c r="F12" s="20"/>
      <c r="G12" s="20"/>
      <c r="H12" s="20"/>
      <c r="I12" s="20"/>
      <c r="J12" s="20"/>
      <c r="K12" s="20"/>
      <c r="L12" s="20"/>
      <c r="M12" s="20">
        <v>34667</v>
      </c>
      <c r="N12" s="20"/>
      <c r="O12" s="20"/>
      <c r="P12" s="20"/>
      <c r="Q12" s="20"/>
      <c r="R12" s="21">
        <f t="shared" si="0"/>
        <v>34667</v>
      </c>
      <c r="S12" s="41"/>
      <c r="T12" s="51"/>
      <c r="U12" s="9"/>
      <c r="V12" s="9"/>
      <c r="W12" s="77"/>
    </row>
    <row r="13" spans="1:23" hidden="1" x14ac:dyDescent="0.3">
      <c r="A13" s="14" t="s">
        <v>14</v>
      </c>
      <c r="B13" s="14"/>
      <c r="C13" s="17">
        <f>SUM(C4:C12)</f>
        <v>668196</v>
      </c>
      <c r="D13" s="18">
        <f>SUM(D4:D12)</f>
        <v>103325</v>
      </c>
      <c r="E13" s="18">
        <f t="shared" ref="E13:Q13" si="1">SUM(E4:E12)</f>
        <v>37950</v>
      </c>
      <c r="F13" s="18">
        <f t="shared" si="1"/>
        <v>88595.299999999988</v>
      </c>
      <c r="G13" s="18">
        <f t="shared" si="1"/>
        <v>11250</v>
      </c>
      <c r="H13" s="18">
        <f t="shared" si="1"/>
        <v>85162.5</v>
      </c>
      <c r="I13" s="18">
        <f t="shared" si="1"/>
        <v>126812.5</v>
      </c>
      <c r="J13" s="18">
        <f t="shared" si="1"/>
        <v>20662.5</v>
      </c>
      <c r="K13" s="18">
        <f t="shared" si="1"/>
        <v>41183.699999999997</v>
      </c>
      <c r="L13" s="18">
        <f t="shared" si="1"/>
        <v>9412.5</v>
      </c>
      <c r="M13" s="18">
        <f t="shared" si="1"/>
        <v>34667</v>
      </c>
      <c r="N13" s="18">
        <f t="shared" si="1"/>
        <v>23275</v>
      </c>
      <c r="O13" s="18">
        <f t="shared" si="1"/>
        <v>15000</v>
      </c>
      <c r="P13" s="18">
        <f t="shared" si="1"/>
        <v>42475</v>
      </c>
      <c r="Q13" s="18">
        <f t="shared" si="1"/>
        <v>28425</v>
      </c>
      <c r="R13" s="19">
        <f>SUM(R4:R12)</f>
        <v>668196</v>
      </c>
      <c r="S13" s="19"/>
      <c r="T13" s="19"/>
      <c r="U13" s="9"/>
      <c r="V13" s="9"/>
    </row>
    <row r="14" spans="1:23" hidden="1" x14ac:dyDescent="0.3">
      <c r="A14" s="14" t="s">
        <v>15</v>
      </c>
      <c r="B14" s="14"/>
      <c r="C14" s="43">
        <f>SUM(D14:I14)</f>
        <v>23750</v>
      </c>
      <c r="D14" s="20"/>
      <c r="E14" s="20">
        <f>20*20*38</f>
        <v>15200</v>
      </c>
      <c r="F14" s="20"/>
      <c r="G14" s="20"/>
      <c r="H14" s="20">
        <f>17.5*20*13</f>
        <v>4550</v>
      </c>
      <c r="I14" s="20">
        <f>10*20*20</f>
        <v>4000</v>
      </c>
      <c r="J14" s="20"/>
      <c r="K14" s="20"/>
      <c r="L14" s="20"/>
      <c r="M14" s="20"/>
      <c r="N14" s="20"/>
      <c r="O14" s="20"/>
      <c r="P14" s="20"/>
      <c r="Q14" s="20"/>
      <c r="R14" s="21">
        <f>SUM(D14:Q14)</f>
        <v>23750</v>
      </c>
      <c r="S14" s="21"/>
      <c r="T14" s="21"/>
      <c r="U14" s="40"/>
      <c r="V14" s="9"/>
    </row>
    <row r="15" spans="1:23" hidden="1" x14ac:dyDescent="0.3">
      <c r="A15" s="14"/>
      <c r="B15" s="14"/>
      <c r="C15" s="17">
        <f>C14+C13</f>
        <v>691946</v>
      </c>
      <c r="D15" s="18">
        <f t="shared" ref="D15:Q15" si="2">D14+D13</f>
        <v>103325</v>
      </c>
      <c r="E15" s="18">
        <f t="shared" si="2"/>
        <v>53150</v>
      </c>
      <c r="F15" s="18">
        <f t="shared" si="2"/>
        <v>88595.299999999988</v>
      </c>
      <c r="G15" s="18">
        <f t="shared" si="2"/>
        <v>11250</v>
      </c>
      <c r="H15" s="18">
        <f t="shared" si="2"/>
        <v>89712.5</v>
      </c>
      <c r="I15" s="18">
        <f t="shared" si="2"/>
        <v>130812.5</v>
      </c>
      <c r="J15" s="18">
        <f t="shared" si="2"/>
        <v>20662.5</v>
      </c>
      <c r="K15" s="18">
        <f t="shared" si="2"/>
        <v>41183.699999999997</v>
      </c>
      <c r="L15" s="18">
        <f t="shared" si="2"/>
        <v>9412.5</v>
      </c>
      <c r="M15" s="18">
        <f t="shared" si="2"/>
        <v>34667</v>
      </c>
      <c r="N15" s="18">
        <f t="shared" si="2"/>
        <v>23275</v>
      </c>
      <c r="O15" s="18">
        <f t="shared" si="2"/>
        <v>15000</v>
      </c>
      <c r="P15" s="18">
        <f t="shared" si="2"/>
        <v>42475</v>
      </c>
      <c r="Q15" s="18">
        <f t="shared" si="2"/>
        <v>28425</v>
      </c>
      <c r="R15" s="19">
        <f>R14+R13</f>
        <v>691946</v>
      </c>
      <c r="S15" s="19"/>
      <c r="T15" s="19"/>
      <c r="U15" s="39">
        <v>711735.125</v>
      </c>
      <c r="V15" s="9"/>
    </row>
    <row r="16" spans="1:23" hidden="1" x14ac:dyDescent="0.3">
      <c r="A16" s="14"/>
      <c r="B16" s="14"/>
      <c r="C16" s="14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9"/>
      <c r="S16" s="19"/>
      <c r="T16" s="19"/>
      <c r="U16" s="39"/>
      <c r="V16" s="9"/>
    </row>
    <row r="17" spans="1:23" hidden="1" x14ac:dyDescent="0.3">
      <c r="A17" s="14" t="s">
        <v>16</v>
      </c>
      <c r="B17" s="14"/>
      <c r="C17" s="18">
        <f t="shared" ref="C17" si="3">0.16245*C13</f>
        <v>108548.44020000001</v>
      </c>
      <c r="D17" s="18">
        <f>0.16245*D13</f>
        <v>16785.146250000002</v>
      </c>
      <c r="E17" s="18">
        <f t="shared" ref="E17:Q17" si="4">0.16245*E13</f>
        <v>6164.9775000000009</v>
      </c>
      <c r="F17" s="18">
        <f t="shared" si="4"/>
        <v>14392.306484999999</v>
      </c>
      <c r="G17" s="18">
        <f t="shared" si="4"/>
        <v>1827.5625000000002</v>
      </c>
      <c r="H17" s="18">
        <f t="shared" si="4"/>
        <v>13834.648125000002</v>
      </c>
      <c r="I17" s="18">
        <f t="shared" si="4"/>
        <v>20600.690625000003</v>
      </c>
      <c r="J17" s="18">
        <f t="shared" si="4"/>
        <v>3356.6231250000001</v>
      </c>
      <c r="K17" s="18">
        <f t="shared" si="4"/>
        <v>6690.2920649999996</v>
      </c>
      <c r="L17" s="18">
        <f t="shared" si="4"/>
        <v>1529.0606250000001</v>
      </c>
      <c r="M17" s="18">
        <f t="shared" si="4"/>
        <v>5631.6541500000003</v>
      </c>
      <c r="N17" s="18">
        <f t="shared" si="4"/>
        <v>3781.0237500000003</v>
      </c>
      <c r="O17" s="18">
        <f t="shared" si="4"/>
        <v>2436.75</v>
      </c>
      <c r="P17" s="18">
        <f t="shared" si="4"/>
        <v>6900.0637500000003</v>
      </c>
      <c r="Q17" s="18">
        <f t="shared" si="4"/>
        <v>4617.6412500000006</v>
      </c>
      <c r="R17" s="51">
        <f>0.16245*R13</f>
        <v>108548.44020000001</v>
      </c>
      <c r="S17" s="18"/>
      <c r="T17" s="18"/>
      <c r="U17" s="39">
        <v>99993.681056250003</v>
      </c>
      <c r="V17" s="9"/>
    </row>
    <row r="18" spans="1:23" hidden="1" x14ac:dyDescent="0.3">
      <c r="A18" s="14" t="s">
        <v>17</v>
      </c>
      <c r="B18" s="14"/>
      <c r="C18" s="18">
        <f t="shared" ref="C18" si="5">0.0848*C15</f>
        <v>58677.020799999998</v>
      </c>
      <c r="D18" s="18">
        <f>0.0848*D15</f>
        <v>8761.9600000000009</v>
      </c>
      <c r="E18" s="18">
        <f t="shared" ref="E18:Q18" si="6">0.0848*E15</f>
        <v>4507.12</v>
      </c>
      <c r="F18" s="18">
        <f t="shared" si="6"/>
        <v>7512.8814399999992</v>
      </c>
      <c r="G18" s="18">
        <f t="shared" si="6"/>
        <v>954</v>
      </c>
      <c r="H18" s="18">
        <f t="shared" si="6"/>
        <v>7607.62</v>
      </c>
      <c r="I18" s="18">
        <f t="shared" si="6"/>
        <v>11092.9</v>
      </c>
      <c r="J18" s="18">
        <f t="shared" si="6"/>
        <v>1752.18</v>
      </c>
      <c r="K18" s="18">
        <f t="shared" si="6"/>
        <v>3492.3777599999999</v>
      </c>
      <c r="L18" s="18">
        <f t="shared" si="6"/>
        <v>798.18</v>
      </c>
      <c r="M18" s="18">
        <f t="shared" si="6"/>
        <v>2939.7615999999998</v>
      </c>
      <c r="N18" s="18">
        <f t="shared" si="6"/>
        <v>1973.72</v>
      </c>
      <c r="O18" s="18">
        <f t="shared" si="6"/>
        <v>1272</v>
      </c>
      <c r="P18" s="18">
        <f t="shared" si="6"/>
        <v>3601.88</v>
      </c>
      <c r="Q18" s="18">
        <f t="shared" si="6"/>
        <v>2410.44</v>
      </c>
      <c r="R18" s="51">
        <f>0.0848*R15</f>
        <v>58677.020799999998</v>
      </c>
      <c r="S18" s="18"/>
      <c r="T18" s="18"/>
      <c r="U18" s="39">
        <v>60355.138599999998</v>
      </c>
      <c r="V18" s="9"/>
    </row>
    <row r="19" spans="1:23" hidden="1" x14ac:dyDescent="0.3">
      <c r="A19" s="14" t="s">
        <v>18</v>
      </c>
      <c r="B19" s="14"/>
      <c r="C19" s="18">
        <f t="shared" ref="C19" si="7">C18+C17+C15</f>
        <v>859171.46100000001</v>
      </c>
      <c r="D19" s="18">
        <f>D18+D17+D15</f>
        <v>128872.10625000001</v>
      </c>
      <c r="E19" s="18">
        <f t="shared" ref="E19:Q19" si="8">E18+E17+E15</f>
        <v>63822.097500000003</v>
      </c>
      <c r="F19" s="18">
        <f t="shared" si="8"/>
        <v>110500.48792499999</v>
      </c>
      <c r="G19" s="18">
        <f t="shared" si="8"/>
        <v>14031.5625</v>
      </c>
      <c r="H19" s="18">
        <f t="shared" si="8"/>
        <v>111154.768125</v>
      </c>
      <c r="I19" s="18">
        <f t="shared" si="8"/>
        <v>162506.09062500001</v>
      </c>
      <c r="J19" s="18">
        <f t="shared" si="8"/>
        <v>25771.303124999999</v>
      </c>
      <c r="K19" s="18">
        <f t="shared" si="8"/>
        <v>51366.369824999994</v>
      </c>
      <c r="L19" s="18">
        <f t="shared" si="8"/>
        <v>11739.740625</v>
      </c>
      <c r="M19" s="18">
        <f t="shared" si="8"/>
        <v>43238.41575</v>
      </c>
      <c r="N19" s="18">
        <f t="shared" si="8"/>
        <v>29029.743750000001</v>
      </c>
      <c r="O19" s="18">
        <f t="shared" si="8"/>
        <v>18708.75</v>
      </c>
      <c r="P19" s="18">
        <f t="shared" si="8"/>
        <v>52976.943749999999</v>
      </c>
      <c r="Q19" s="18">
        <f t="shared" si="8"/>
        <v>35453.081250000003</v>
      </c>
      <c r="R19" s="19">
        <f t="shared" ref="R19" si="9">R18+R17+R15</f>
        <v>859171.46100000001</v>
      </c>
      <c r="S19" s="42"/>
      <c r="T19" s="42"/>
      <c r="U19" s="39">
        <v>872083.94465625007</v>
      </c>
      <c r="V19" s="9"/>
    </row>
    <row r="20" spans="1:23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/>
      <c r="S20" s="23"/>
      <c r="T20" s="23"/>
      <c r="U20" s="10"/>
      <c r="V20" s="9"/>
    </row>
    <row r="21" spans="1:23" x14ac:dyDescent="0.3">
      <c r="A21" s="13" t="s">
        <v>19</v>
      </c>
      <c r="B21" s="14"/>
      <c r="C21" s="14"/>
      <c r="D21" s="24">
        <v>340000</v>
      </c>
      <c r="E21" s="24"/>
      <c r="F21" s="24"/>
      <c r="G21" s="24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9">
        <f>SUM(D21:Q21)</f>
        <v>340000</v>
      </c>
      <c r="S21" s="19">
        <v>325000</v>
      </c>
      <c r="T21" s="19">
        <v>325000</v>
      </c>
      <c r="U21" s="46">
        <v>325000</v>
      </c>
      <c r="V21" s="68">
        <f>R21/U21-1</f>
        <v>4.6153846153846212E-2</v>
      </c>
    </row>
    <row r="22" spans="1:23" ht="15" thickBot="1" x14ac:dyDescent="0.35">
      <c r="A22" s="13" t="s">
        <v>20</v>
      </c>
      <c r="B22" s="14"/>
      <c r="C22" s="14"/>
      <c r="D22" s="25"/>
      <c r="E22" s="25"/>
      <c r="F22" s="26">
        <v>100000</v>
      </c>
      <c r="G22" s="25"/>
      <c r="H22" s="26">
        <v>125000</v>
      </c>
      <c r="I22" s="26">
        <v>365000</v>
      </c>
      <c r="J22" s="26"/>
      <c r="K22" s="26"/>
      <c r="L22" s="26">
        <v>157500</v>
      </c>
      <c r="M22" s="26">
        <f>8/12*92340</f>
        <v>61560</v>
      </c>
      <c r="N22" s="26">
        <f>38390+75000</f>
        <v>113390</v>
      </c>
      <c r="O22" s="26">
        <v>0</v>
      </c>
      <c r="P22" s="26">
        <v>125000</v>
      </c>
      <c r="Q22" s="25"/>
      <c r="R22" s="53">
        <f>SUM(D22:Q22)</f>
        <v>1047450</v>
      </c>
      <c r="S22" s="27">
        <f>1558616-S21</f>
        <v>1233616</v>
      </c>
      <c r="T22" s="27">
        <f>((S22-520000)/9*12)+520000</f>
        <v>1471488</v>
      </c>
      <c r="U22" s="47">
        <v>1013208</v>
      </c>
      <c r="V22" s="69">
        <f>R22/U22-1</f>
        <v>3.3795627353909508E-2</v>
      </c>
    </row>
    <row r="23" spans="1:23" x14ac:dyDescent="0.3">
      <c r="A23" s="13"/>
      <c r="B23" s="14"/>
      <c r="C23" s="14"/>
      <c r="D23" s="18">
        <f t="shared" ref="D23:Q23" si="10">D22+D21</f>
        <v>340000</v>
      </c>
      <c r="E23" s="18"/>
      <c r="F23" s="18">
        <f t="shared" si="10"/>
        <v>100000</v>
      </c>
      <c r="G23" s="18">
        <f t="shared" si="10"/>
        <v>0</v>
      </c>
      <c r="H23" s="18">
        <f t="shared" si="10"/>
        <v>125000</v>
      </c>
      <c r="I23" s="24">
        <f t="shared" si="10"/>
        <v>365000</v>
      </c>
      <c r="J23" s="24">
        <f t="shared" si="10"/>
        <v>0</v>
      </c>
      <c r="K23" s="18">
        <f t="shared" si="10"/>
        <v>0</v>
      </c>
      <c r="L23" s="18">
        <f t="shared" si="10"/>
        <v>157500</v>
      </c>
      <c r="M23" s="18">
        <f t="shared" si="10"/>
        <v>61560</v>
      </c>
      <c r="N23" s="24">
        <f t="shared" si="10"/>
        <v>113390</v>
      </c>
      <c r="O23" s="24">
        <f t="shared" si="10"/>
        <v>0</v>
      </c>
      <c r="P23" s="24">
        <f t="shared" si="10"/>
        <v>125000</v>
      </c>
      <c r="Q23" s="18">
        <f t="shared" si="10"/>
        <v>0</v>
      </c>
      <c r="R23" s="19">
        <f>SUM(D23:Q23)</f>
        <v>1387450</v>
      </c>
      <c r="S23" s="19">
        <f>S22+S21</f>
        <v>1558616</v>
      </c>
      <c r="T23" s="19">
        <f>T22+T21</f>
        <v>1796488</v>
      </c>
      <c r="U23" s="8">
        <v>1338208</v>
      </c>
      <c r="V23" s="68">
        <f>R23/U23-1</f>
        <v>3.6796970276668395E-2</v>
      </c>
    </row>
    <row r="24" spans="1:23" x14ac:dyDescent="0.3">
      <c r="A24" s="13" t="s">
        <v>21</v>
      </c>
      <c r="B24" s="14"/>
      <c r="C24" s="14"/>
      <c r="D24" s="18"/>
      <c r="E24" s="18"/>
      <c r="F24" s="18"/>
      <c r="G24" s="18"/>
      <c r="H24" s="18">
        <v>25000</v>
      </c>
      <c r="I24" s="24"/>
      <c r="J24" s="24">
        <v>29600</v>
      </c>
      <c r="K24" s="18">
        <v>71500</v>
      </c>
      <c r="L24" s="18"/>
      <c r="M24" s="18"/>
      <c r="N24" s="24"/>
      <c r="O24" s="24"/>
      <c r="P24" s="24"/>
      <c r="Q24" s="18">
        <v>60000</v>
      </c>
      <c r="R24" s="19">
        <f t="shared" ref="R24:R87" si="11">SUM(D24:Q24)</f>
        <v>186100</v>
      </c>
      <c r="S24" s="19">
        <v>101140</v>
      </c>
      <c r="T24" s="19">
        <f>S24/9*12</f>
        <v>134853.33333333331</v>
      </c>
      <c r="U24" s="8">
        <v>161100</v>
      </c>
      <c r="V24" s="68">
        <f>R24/U24-1</f>
        <v>0.15518311607697077</v>
      </c>
    </row>
    <row r="25" spans="1:23" x14ac:dyDescent="0.3">
      <c r="A25" s="13" t="s">
        <v>22</v>
      </c>
      <c r="B25" s="14"/>
      <c r="C25" s="14"/>
      <c r="D25" s="18">
        <f>3078</f>
        <v>3078</v>
      </c>
      <c r="E25" s="18"/>
      <c r="F25" s="18">
        <v>1500</v>
      </c>
      <c r="G25" s="18">
        <v>1500</v>
      </c>
      <c r="I25" s="18"/>
      <c r="J25" s="18"/>
      <c r="K25" s="18"/>
      <c r="L25" s="18"/>
      <c r="M25" s="18"/>
      <c r="N25" s="24"/>
      <c r="O25" s="24"/>
      <c r="P25" s="24"/>
      <c r="Q25" s="18">
        <v>1000</v>
      </c>
      <c r="R25" s="19">
        <f t="shared" si="11"/>
        <v>7078</v>
      </c>
      <c r="S25" s="19">
        <v>2125</v>
      </c>
      <c r="T25" s="19">
        <f>S25/9*12</f>
        <v>2833.3333333333335</v>
      </c>
      <c r="U25" s="8">
        <v>5500</v>
      </c>
      <c r="V25" s="68"/>
      <c r="W25" t="s">
        <v>136</v>
      </c>
    </row>
    <row r="26" spans="1:23" ht="15" thickBot="1" x14ac:dyDescent="0.35">
      <c r="A26" s="13" t="s">
        <v>23</v>
      </c>
      <c r="B26" s="14"/>
      <c r="C26" s="14"/>
      <c r="D26" s="25"/>
      <c r="E26" s="25"/>
      <c r="F26" s="25">
        <v>4000</v>
      </c>
      <c r="G26" s="25"/>
      <c r="H26" s="25"/>
      <c r="I26" s="25"/>
      <c r="J26" s="25"/>
      <c r="K26" s="25"/>
      <c r="L26" s="25"/>
      <c r="M26" s="25"/>
      <c r="N26" s="26"/>
      <c r="O26" s="26"/>
      <c r="P26" s="26"/>
      <c r="Q26" s="25"/>
      <c r="R26" s="53">
        <f t="shared" si="11"/>
        <v>4000</v>
      </c>
      <c r="S26" s="27">
        <v>0</v>
      </c>
      <c r="T26" s="27"/>
      <c r="U26" s="47">
        <v>25000</v>
      </c>
      <c r="V26" s="69"/>
    </row>
    <row r="27" spans="1:23" x14ac:dyDescent="0.3">
      <c r="A27" s="13"/>
      <c r="B27" s="14"/>
      <c r="C27" s="14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24"/>
      <c r="O27" s="24"/>
      <c r="P27" s="24"/>
      <c r="Q27" s="18"/>
      <c r="R27" s="19">
        <f t="shared" si="11"/>
        <v>0</v>
      </c>
      <c r="S27" s="19">
        <f>SUM(S24:S26)</f>
        <v>103265</v>
      </c>
      <c r="T27" s="19">
        <f>SUM(T24:T26)</f>
        <v>137686.66666666666</v>
      </c>
      <c r="U27" s="8">
        <v>25000</v>
      </c>
      <c r="V27" s="68">
        <f>R27/U27-1</f>
        <v>-1</v>
      </c>
    </row>
    <row r="28" spans="1:23" x14ac:dyDescent="0.3">
      <c r="A28" s="13" t="s">
        <v>24</v>
      </c>
      <c r="B28" s="14"/>
      <c r="C28" s="14"/>
      <c r="D28" s="18">
        <v>20000</v>
      </c>
      <c r="E28" s="18"/>
      <c r="F28" s="18"/>
      <c r="G28" s="18"/>
      <c r="H28" s="18"/>
      <c r="I28" s="18"/>
      <c r="J28" s="18"/>
      <c r="K28" s="18"/>
      <c r="L28" s="18"/>
      <c r="M28" s="18"/>
      <c r="N28" s="24"/>
      <c r="O28" s="24">
        <v>25000</v>
      </c>
      <c r="P28" s="24"/>
      <c r="Q28" s="18"/>
      <c r="R28" s="19">
        <f t="shared" si="11"/>
        <v>45000</v>
      </c>
      <c r="S28" s="19">
        <v>32428</v>
      </c>
      <c r="T28" s="19">
        <v>32428</v>
      </c>
      <c r="U28" s="8">
        <v>50000</v>
      </c>
      <c r="V28" s="68">
        <f>R28/U28-1</f>
        <v>-9.9999999999999978E-2</v>
      </c>
    </row>
    <row r="29" spans="1:23" ht="15" thickBot="1" x14ac:dyDescent="0.35">
      <c r="A29" s="13" t="s">
        <v>25</v>
      </c>
      <c r="B29" s="14"/>
      <c r="C29" s="14"/>
      <c r="D29" s="25">
        <v>25000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53">
        <f t="shared" si="11"/>
        <v>25000</v>
      </c>
      <c r="S29" s="27">
        <v>0</v>
      </c>
      <c r="T29" s="27"/>
      <c r="U29" s="47">
        <v>20000</v>
      </c>
      <c r="V29" s="69">
        <f>R29/U29-1</f>
        <v>0.25</v>
      </c>
      <c r="W29" t="s">
        <v>137</v>
      </c>
    </row>
    <row r="30" spans="1:23" x14ac:dyDescent="0.3">
      <c r="A30" s="13"/>
      <c r="B30" s="14"/>
      <c r="C30" s="14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9">
        <f t="shared" si="11"/>
        <v>0</v>
      </c>
      <c r="S30" s="19">
        <f>SUM(S28:S29)</f>
        <v>32428</v>
      </c>
      <c r="T30" s="19">
        <v>32428</v>
      </c>
      <c r="U30" s="8">
        <v>70000</v>
      </c>
      <c r="V30" s="68">
        <f>R30/U30-1</f>
        <v>-1</v>
      </c>
    </row>
    <row r="31" spans="1:23" x14ac:dyDescent="0.3">
      <c r="A31" s="13" t="s">
        <v>26</v>
      </c>
      <c r="B31" s="14"/>
      <c r="C31" s="14"/>
      <c r="D31" s="28">
        <v>3000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19">
        <f t="shared" si="11"/>
        <v>3000</v>
      </c>
      <c r="S31" s="19"/>
      <c r="T31" s="19"/>
      <c r="U31" s="8"/>
      <c r="V31" s="9"/>
    </row>
    <row r="32" spans="1:23" x14ac:dyDescent="0.3">
      <c r="A32" s="13" t="s">
        <v>27</v>
      </c>
      <c r="B32" s="14"/>
      <c r="C32" s="14"/>
      <c r="D32" s="20">
        <v>30000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41">
        <f t="shared" si="11"/>
        <v>30000</v>
      </c>
      <c r="S32" s="21">
        <v>34727</v>
      </c>
      <c r="T32" s="21">
        <f>S32/9*12</f>
        <v>46302.666666666672</v>
      </c>
      <c r="U32" s="11">
        <v>25000</v>
      </c>
      <c r="V32" s="68">
        <f>R32/U32-1</f>
        <v>0.19999999999999996</v>
      </c>
    </row>
    <row r="33" spans="1:23" ht="15" thickBot="1" x14ac:dyDescent="0.35">
      <c r="A33" s="14"/>
      <c r="B33" s="14"/>
      <c r="C33" s="14"/>
      <c r="D33" s="85">
        <f t="shared" ref="D33:Q33" si="12">SUM(D23:D32)</f>
        <v>421078</v>
      </c>
      <c r="E33" s="85">
        <f t="shared" si="12"/>
        <v>0</v>
      </c>
      <c r="F33" s="85">
        <f t="shared" si="12"/>
        <v>105500</v>
      </c>
      <c r="G33" s="85">
        <f t="shared" si="12"/>
        <v>1500</v>
      </c>
      <c r="H33" s="85">
        <f t="shared" si="12"/>
        <v>150000</v>
      </c>
      <c r="I33" s="85">
        <f t="shared" si="12"/>
        <v>365000</v>
      </c>
      <c r="J33" s="85">
        <f t="shared" si="12"/>
        <v>29600</v>
      </c>
      <c r="K33" s="85">
        <f t="shared" si="12"/>
        <v>71500</v>
      </c>
      <c r="L33" s="85">
        <f t="shared" si="12"/>
        <v>157500</v>
      </c>
      <c r="M33" s="85">
        <f t="shared" si="12"/>
        <v>61560</v>
      </c>
      <c r="N33" s="85">
        <f t="shared" si="12"/>
        <v>113390</v>
      </c>
      <c r="O33" s="85">
        <f t="shared" si="12"/>
        <v>25000</v>
      </c>
      <c r="P33" s="85">
        <f t="shared" si="12"/>
        <v>125000</v>
      </c>
      <c r="Q33" s="85">
        <f t="shared" si="12"/>
        <v>61000</v>
      </c>
      <c r="R33" s="90">
        <f t="shared" si="11"/>
        <v>1687628</v>
      </c>
      <c r="S33" s="27">
        <f>S32+S31+S30+S27+S23</f>
        <v>1729036</v>
      </c>
      <c r="T33" s="27">
        <f>T32+T31+T30+T27+T23</f>
        <v>2012905.3333333333</v>
      </c>
      <c r="U33" s="47">
        <v>1624808</v>
      </c>
      <c r="V33" s="70">
        <f>R33/U33-1</f>
        <v>3.8663029724127496E-2</v>
      </c>
    </row>
    <row r="34" spans="1:23" x14ac:dyDescent="0.3">
      <c r="A34" s="29" t="s">
        <v>131</v>
      </c>
      <c r="B34" s="29"/>
      <c r="C34" s="29"/>
      <c r="D34" s="30">
        <f t="shared" ref="D34:Q34" si="13">D33/$R33</f>
        <v>0.24950877800083904</v>
      </c>
      <c r="E34" s="30">
        <f t="shared" si="13"/>
        <v>0</v>
      </c>
      <c r="F34" s="30">
        <f t="shared" si="13"/>
        <v>6.2513776732787088E-2</v>
      </c>
      <c r="G34" s="30">
        <f t="shared" si="13"/>
        <v>8.8882147013441353E-4</v>
      </c>
      <c r="H34" s="30">
        <f t="shared" si="13"/>
        <v>8.8882147013441354E-2</v>
      </c>
      <c r="I34" s="30">
        <f t="shared" si="13"/>
        <v>0.21627989106604062</v>
      </c>
      <c r="J34" s="30">
        <f t="shared" si="13"/>
        <v>1.7539410343985758E-2</v>
      </c>
      <c r="K34" s="30">
        <f t="shared" si="13"/>
        <v>4.236715674307371E-2</v>
      </c>
      <c r="L34" s="30">
        <f t="shared" si="13"/>
        <v>9.3326254364113417E-2</v>
      </c>
      <c r="M34" s="30">
        <f t="shared" si="13"/>
        <v>3.6477233134316334E-2</v>
      </c>
      <c r="N34" s="30">
        <f t="shared" si="13"/>
        <v>6.7188977665694094E-2</v>
      </c>
      <c r="O34" s="30">
        <f t="shared" si="13"/>
        <v>1.4813691168906892E-2</v>
      </c>
      <c r="P34" s="30">
        <f t="shared" si="13"/>
        <v>7.4068455844534462E-2</v>
      </c>
      <c r="Q34" s="30">
        <f t="shared" si="13"/>
        <v>3.6145406452132815E-2</v>
      </c>
      <c r="R34" s="19"/>
      <c r="S34" s="19"/>
      <c r="T34" s="19"/>
      <c r="U34" s="8"/>
      <c r="V34" s="9"/>
    </row>
    <row r="35" spans="1:23" x14ac:dyDescent="0.3">
      <c r="A35" s="29"/>
      <c r="B35" s="29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19">
        <f t="shared" si="11"/>
        <v>0</v>
      </c>
      <c r="S35" s="19"/>
      <c r="T35" s="19"/>
      <c r="U35" s="8"/>
      <c r="V35" s="9"/>
    </row>
    <row r="36" spans="1:23" x14ac:dyDescent="0.3">
      <c r="A36" s="29" t="s">
        <v>28</v>
      </c>
      <c r="B36" s="29"/>
      <c r="C36" s="14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>
        <f t="shared" si="11"/>
        <v>0</v>
      </c>
      <c r="S36" s="19"/>
      <c r="T36" s="19"/>
      <c r="U36" s="8"/>
      <c r="V36" s="9"/>
    </row>
    <row r="37" spans="1:23" x14ac:dyDescent="0.3">
      <c r="A37" s="29"/>
      <c r="B37" s="29" t="s">
        <v>29</v>
      </c>
      <c r="C37" s="14"/>
      <c r="D37" s="18">
        <f t="shared" ref="D37:O37" si="14">D14</f>
        <v>0</v>
      </c>
      <c r="E37" s="18">
        <f t="shared" ref="E37:G37" si="15">E14</f>
        <v>15200</v>
      </c>
      <c r="F37" s="18">
        <f t="shared" si="15"/>
        <v>0</v>
      </c>
      <c r="G37" s="18">
        <f t="shared" si="15"/>
        <v>0</v>
      </c>
      <c r="H37" s="18">
        <f t="shared" si="14"/>
        <v>4550</v>
      </c>
      <c r="I37" s="18">
        <f t="shared" si="14"/>
        <v>4000</v>
      </c>
      <c r="J37" s="18">
        <f t="shared" si="14"/>
        <v>0</v>
      </c>
      <c r="K37" s="18">
        <f t="shared" si="14"/>
        <v>0</v>
      </c>
      <c r="L37" s="18">
        <f t="shared" ref="L37" si="16">L14</f>
        <v>0</v>
      </c>
      <c r="M37" s="18">
        <f t="shared" ref="M37" si="17">M14</f>
        <v>0</v>
      </c>
      <c r="N37" s="18">
        <f t="shared" ref="N37" si="18">N14</f>
        <v>0</v>
      </c>
      <c r="O37" s="18">
        <f t="shared" si="14"/>
        <v>0</v>
      </c>
      <c r="P37" s="18">
        <f t="shared" ref="P37:Q37" si="19">P14</f>
        <v>0</v>
      </c>
      <c r="Q37" s="18">
        <f t="shared" si="19"/>
        <v>0</v>
      </c>
      <c r="R37" s="19">
        <f t="shared" si="11"/>
        <v>23750</v>
      </c>
      <c r="S37" s="19"/>
      <c r="T37" s="19"/>
      <c r="U37" s="8">
        <v>29200</v>
      </c>
      <c r="V37" s="9"/>
    </row>
    <row r="38" spans="1:23" x14ac:dyDescent="0.3">
      <c r="A38" s="29"/>
      <c r="B38" s="29" t="s">
        <v>30</v>
      </c>
      <c r="C38" s="14"/>
      <c r="D38" s="18">
        <f t="shared" ref="D38:O38" si="20">D13</f>
        <v>103325</v>
      </c>
      <c r="E38" s="18">
        <f t="shared" ref="E38:G38" si="21">E13</f>
        <v>37950</v>
      </c>
      <c r="F38" s="18">
        <f t="shared" si="21"/>
        <v>88595.299999999988</v>
      </c>
      <c r="G38" s="18">
        <f t="shared" si="21"/>
        <v>11250</v>
      </c>
      <c r="H38" s="18">
        <f t="shared" si="20"/>
        <v>85162.5</v>
      </c>
      <c r="I38" s="18">
        <f t="shared" si="20"/>
        <v>126812.5</v>
      </c>
      <c r="J38" s="18">
        <f t="shared" si="20"/>
        <v>20662.5</v>
      </c>
      <c r="K38" s="18">
        <f t="shared" si="20"/>
        <v>41183.699999999997</v>
      </c>
      <c r="L38" s="18">
        <f t="shared" ref="L38" si="22">L13</f>
        <v>9412.5</v>
      </c>
      <c r="M38" s="18">
        <f t="shared" ref="M38" si="23">M13</f>
        <v>34667</v>
      </c>
      <c r="N38" s="18">
        <f t="shared" ref="N38" si="24">N13</f>
        <v>23275</v>
      </c>
      <c r="O38" s="18">
        <f t="shared" si="20"/>
        <v>15000</v>
      </c>
      <c r="P38" s="18">
        <f t="shared" ref="P38:Q38" si="25">P13</f>
        <v>42475</v>
      </c>
      <c r="Q38" s="18">
        <f t="shared" si="25"/>
        <v>28425</v>
      </c>
      <c r="R38" s="19">
        <f t="shared" si="11"/>
        <v>668196</v>
      </c>
      <c r="S38" s="19"/>
      <c r="T38" s="19"/>
      <c r="U38" s="8">
        <v>682635.625</v>
      </c>
      <c r="V38" s="9"/>
      <c r="W38" t="s">
        <v>148</v>
      </c>
    </row>
    <row r="39" spans="1:23" x14ac:dyDescent="0.3">
      <c r="A39" s="29"/>
      <c r="B39" s="29" t="s">
        <v>31</v>
      </c>
      <c r="C39" s="14"/>
      <c r="D39" s="18">
        <f t="shared" ref="D39:O39" si="26">D18</f>
        <v>8761.9600000000009</v>
      </c>
      <c r="E39" s="18">
        <f t="shared" ref="E39:G39" si="27">E18</f>
        <v>4507.12</v>
      </c>
      <c r="F39" s="18">
        <f t="shared" si="27"/>
        <v>7512.8814399999992</v>
      </c>
      <c r="G39" s="18">
        <f t="shared" si="27"/>
        <v>954</v>
      </c>
      <c r="H39" s="18">
        <f t="shared" si="26"/>
        <v>7607.62</v>
      </c>
      <c r="I39" s="18">
        <f t="shared" si="26"/>
        <v>11092.9</v>
      </c>
      <c r="J39" s="18">
        <f t="shared" si="26"/>
        <v>1752.18</v>
      </c>
      <c r="K39" s="18">
        <f t="shared" si="26"/>
        <v>3492.3777599999999</v>
      </c>
      <c r="L39" s="18">
        <f t="shared" ref="L39" si="28">L18</f>
        <v>798.18</v>
      </c>
      <c r="M39" s="18">
        <f t="shared" ref="M39" si="29">M18</f>
        <v>2939.7615999999998</v>
      </c>
      <c r="N39" s="18">
        <f t="shared" ref="N39" si="30">N18</f>
        <v>1973.72</v>
      </c>
      <c r="O39" s="18">
        <f t="shared" si="26"/>
        <v>1272</v>
      </c>
      <c r="P39" s="18">
        <f t="shared" ref="P39:Q39" si="31">P18</f>
        <v>3601.88</v>
      </c>
      <c r="Q39" s="18">
        <f t="shared" si="31"/>
        <v>2410.44</v>
      </c>
      <c r="R39" s="19">
        <f t="shared" si="11"/>
        <v>58677.020799999998</v>
      </c>
      <c r="S39" s="19"/>
      <c r="T39" s="19"/>
      <c r="U39" s="8">
        <v>60363.661</v>
      </c>
      <c r="V39" s="9"/>
    </row>
    <row r="40" spans="1:23" x14ac:dyDescent="0.3">
      <c r="A40" s="29"/>
      <c r="B40" s="29" t="s">
        <v>32</v>
      </c>
      <c r="C40" s="14"/>
      <c r="D40" s="18">
        <f t="shared" ref="D40:O40" si="32">D17</f>
        <v>16785.146250000002</v>
      </c>
      <c r="E40" s="18">
        <f t="shared" ref="E40:G40" si="33">E17</f>
        <v>6164.9775000000009</v>
      </c>
      <c r="F40" s="18">
        <f t="shared" si="33"/>
        <v>14392.306484999999</v>
      </c>
      <c r="G40" s="18">
        <f t="shared" si="33"/>
        <v>1827.5625000000002</v>
      </c>
      <c r="H40" s="18">
        <f t="shared" si="32"/>
        <v>13834.648125000002</v>
      </c>
      <c r="I40" s="18">
        <f t="shared" si="32"/>
        <v>20600.690625000003</v>
      </c>
      <c r="J40" s="18">
        <f t="shared" si="32"/>
        <v>3356.6231250000001</v>
      </c>
      <c r="K40" s="18">
        <f t="shared" si="32"/>
        <v>6690.2920649999996</v>
      </c>
      <c r="L40" s="18">
        <f t="shared" ref="L40" si="34">L17</f>
        <v>1529.0606250000001</v>
      </c>
      <c r="M40" s="18">
        <f t="shared" ref="M40" si="35">M17</f>
        <v>5631.6541500000003</v>
      </c>
      <c r="N40" s="18">
        <f t="shared" ref="N40" si="36">N17</f>
        <v>3781.0237500000003</v>
      </c>
      <c r="O40" s="18">
        <f t="shared" si="32"/>
        <v>2436.75</v>
      </c>
      <c r="P40" s="18">
        <f t="shared" ref="P40:Q40" si="37">P17</f>
        <v>6900.0637500000003</v>
      </c>
      <c r="Q40" s="18">
        <f t="shared" si="37"/>
        <v>4617.6412500000006</v>
      </c>
      <c r="R40" s="19">
        <f t="shared" si="11"/>
        <v>108548.4402</v>
      </c>
      <c r="S40" s="19"/>
      <c r="T40" s="19"/>
      <c r="U40" s="8">
        <v>99993.762281250005</v>
      </c>
      <c r="V40" s="9"/>
    </row>
    <row r="41" spans="1:23" x14ac:dyDescent="0.3">
      <c r="A41" s="29"/>
      <c r="B41" s="29" t="s">
        <v>33</v>
      </c>
      <c r="C41" s="14"/>
      <c r="D41" s="18">
        <f>0.03*D38</f>
        <v>3099.75</v>
      </c>
      <c r="E41" s="18">
        <f t="shared" ref="E41:G41" si="38">0.03*E38</f>
        <v>1138.5</v>
      </c>
      <c r="F41" s="18">
        <f t="shared" si="38"/>
        <v>2657.8589999999995</v>
      </c>
      <c r="G41" s="18">
        <f t="shared" si="38"/>
        <v>337.5</v>
      </c>
      <c r="H41" s="18">
        <f t="shared" ref="H41:O41" si="39">0.03*H38</f>
        <v>2554.875</v>
      </c>
      <c r="I41" s="18">
        <f t="shared" si="39"/>
        <v>3804.375</v>
      </c>
      <c r="J41" s="18">
        <f t="shared" si="39"/>
        <v>619.875</v>
      </c>
      <c r="K41" s="18">
        <f t="shared" si="39"/>
        <v>1235.511</v>
      </c>
      <c r="L41" s="18">
        <f t="shared" ref="L41" si="40">0.03*L38</f>
        <v>282.375</v>
      </c>
      <c r="M41" s="18">
        <f t="shared" ref="M41" si="41">0.03*M38</f>
        <v>1040.01</v>
      </c>
      <c r="N41" s="18">
        <f t="shared" ref="N41" si="42">0.03*N38</f>
        <v>698.25</v>
      </c>
      <c r="O41" s="18">
        <f t="shared" si="39"/>
        <v>450</v>
      </c>
      <c r="P41" s="18">
        <f t="shared" ref="P41:Q41" si="43">0.03*P38</f>
        <v>1274.25</v>
      </c>
      <c r="Q41" s="18">
        <f t="shared" si="43"/>
        <v>852.75</v>
      </c>
      <c r="R41" s="19">
        <f t="shared" si="11"/>
        <v>20045.88</v>
      </c>
      <c r="S41" s="19"/>
      <c r="T41" s="19"/>
      <c r="U41" s="8">
        <v>20479.068750000002</v>
      </c>
      <c r="V41" s="9"/>
    </row>
    <row r="42" spans="1:23" x14ac:dyDescent="0.3">
      <c r="A42" s="29"/>
      <c r="B42" s="29" t="s">
        <v>34</v>
      </c>
      <c r="C42" s="14"/>
      <c r="D42" s="24">
        <v>4500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>
        <f t="shared" si="11"/>
        <v>4500</v>
      </c>
      <c r="S42" s="19"/>
      <c r="T42" s="19"/>
      <c r="U42" s="8">
        <v>4100</v>
      </c>
      <c r="V42" s="9"/>
    </row>
    <row r="43" spans="1:23" ht="15" thickBot="1" x14ac:dyDescent="0.35">
      <c r="A43" s="29"/>
      <c r="B43" s="29" t="s">
        <v>35</v>
      </c>
      <c r="C43" s="14"/>
      <c r="D43" s="32">
        <v>3000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3">
        <f t="shared" si="11"/>
        <v>3000</v>
      </c>
      <c r="S43" s="27"/>
      <c r="T43" s="27"/>
      <c r="U43" s="47">
        <v>2693</v>
      </c>
      <c r="V43" s="71"/>
    </row>
    <row r="44" spans="1:23" x14ac:dyDescent="0.3">
      <c r="A44" s="29" t="s">
        <v>36</v>
      </c>
      <c r="B44" s="29"/>
      <c r="C44" s="14"/>
      <c r="D44" s="86">
        <f>SUM(D37:D43)</f>
        <v>139471.85625000001</v>
      </c>
      <c r="E44" s="86">
        <f t="shared" ref="E44:G44" si="44">SUM(E37:E43)</f>
        <v>64960.597500000003</v>
      </c>
      <c r="F44" s="86">
        <f t="shared" si="44"/>
        <v>113158.34692499998</v>
      </c>
      <c r="G44" s="86">
        <f t="shared" si="44"/>
        <v>14369.0625</v>
      </c>
      <c r="H44" s="86">
        <f t="shared" ref="H44:O44" si="45">SUM(H37:H43)</f>
        <v>113709.643125</v>
      </c>
      <c r="I44" s="86">
        <f t="shared" si="45"/>
        <v>166310.46562500001</v>
      </c>
      <c r="J44" s="86">
        <f>SUM(J37:J43)</f>
        <v>26391.178124999999</v>
      </c>
      <c r="K44" s="86">
        <f t="shared" si="45"/>
        <v>52601.880825</v>
      </c>
      <c r="L44" s="86">
        <f t="shared" ref="L44" si="46">SUM(L37:L43)</f>
        <v>12022.115625</v>
      </c>
      <c r="M44" s="86">
        <f t="shared" ref="M44" si="47">SUM(M37:M43)</f>
        <v>44278.425750000002</v>
      </c>
      <c r="N44" s="86">
        <f t="shared" ref="N44" si="48">SUM(N37:N43)</f>
        <v>29727.993750000001</v>
      </c>
      <c r="O44" s="86">
        <f t="shared" si="45"/>
        <v>19158.75</v>
      </c>
      <c r="P44" s="86">
        <f t="shared" ref="P44:Q44" si="49">SUM(P37:P43)</f>
        <v>54251.193749999999</v>
      </c>
      <c r="Q44" s="86">
        <f t="shared" si="49"/>
        <v>36305.831250000003</v>
      </c>
      <c r="R44" s="87">
        <f t="shared" si="11"/>
        <v>886717.34100000001</v>
      </c>
      <c r="S44" s="19">
        <v>636398</v>
      </c>
      <c r="T44" s="19">
        <f>S44/9*12</f>
        <v>848530.66666666674</v>
      </c>
      <c r="U44" s="8">
        <v>899465.11703124992</v>
      </c>
      <c r="V44" s="68">
        <f>R44/U44-1</f>
        <v>-1.417261858172425E-2</v>
      </c>
    </row>
    <row r="45" spans="1:23" x14ac:dyDescent="0.3">
      <c r="A45" s="29" t="s">
        <v>37</v>
      </c>
      <c r="B45" s="29"/>
      <c r="C45" s="14"/>
      <c r="D45" s="24"/>
      <c r="E45" s="24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>
        <f t="shared" si="11"/>
        <v>0</v>
      </c>
      <c r="S45" s="19"/>
      <c r="T45" s="19"/>
      <c r="U45" s="8">
        <v>0</v>
      </c>
      <c r="V45" s="9"/>
    </row>
    <row r="46" spans="1:23" x14ac:dyDescent="0.3">
      <c r="A46" s="29"/>
      <c r="B46" s="29" t="s">
        <v>38</v>
      </c>
      <c r="C46" s="14"/>
      <c r="D46" s="18">
        <v>10000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>
        <f t="shared" si="11"/>
        <v>10000</v>
      </c>
      <c r="S46" s="19"/>
      <c r="T46" s="19"/>
      <c r="U46" s="8">
        <v>5000</v>
      </c>
      <c r="V46" s="9"/>
      <c r="W46" t="s">
        <v>138</v>
      </c>
    </row>
    <row r="47" spans="1:23" x14ac:dyDescent="0.3">
      <c r="A47" s="29"/>
      <c r="B47" s="29" t="s">
        <v>39</v>
      </c>
      <c r="C47" s="14"/>
      <c r="D47" s="18">
        <v>2500</v>
      </c>
      <c r="E47" s="18">
        <f>359.88+556.08+2778+1776</f>
        <v>5469.96</v>
      </c>
      <c r="F47" s="18">
        <v>2499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>
        <f t="shared" si="11"/>
        <v>10468.959999999999</v>
      </c>
      <c r="S47" s="19"/>
      <c r="T47" s="19"/>
      <c r="U47" s="8">
        <v>10000</v>
      </c>
      <c r="V47" s="9"/>
    </row>
    <row r="48" spans="1:23" x14ac:dyDescent="0.3">
      <c r="A48" s="29"/>
      <c r="B48" s="29" t="s">
        <v>40</v>
      </c>
      <c r="C48" s="14"/>
      <c r="D48" s="18">
        <f>750*10</f>
        <v>7500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>
        <f t="shared" si="11"/>
        <v>7500</v>
      </c>
      <c r="S48" s="19"/>
      <c r="T48" s="19"/>
      <c r="U48" s="8">
        <v>5000</v>
      </c>
      <c r="V48" s="9"/>
      <c r="W48" t="s">
        <v>139</v>
      </c>
    </row>
    <row r="49" spans="1:23" ht="15" thickBot="1" x14ac:dyDescent="0.35">
      <c r="A49" s="29"/>
      <c r="B49" s="29" t="s">
        <v>41</v>
      </c>
      <c r="C49" s="14"/>
      <c r="D49" s="31">
        <v>2500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3">
        <f t="shared" si="11"/>
        <v>2500</v>
      </c>
      <c r="S49" s="53"/>
      <c r="T49" s="53"/>
      <c r="U49" s="48">
        <v>2500</v>
      </c>
      <c r="V49" s="71"/>
    </row>
    <row r="50" spans="1:23" x14ac:dyDescent="0.3">
      <c r="A50" s="29" t="s">
        <v>42</v>
      </c>
      <c r="B50" s="29"/>
      <c r="C50" s="14"/>
      <c r="D50" s="86">
        <f t="shared" ref="D50:Q50" si="50">SUM(D46:D49)</f>
        <v>22500</v>
      </c>
      <c r="E50" s="86">
        <f t="shared" si="50"/>
        <v>5469.96</v>
      </c>
      <c r="F50" s="86">
        <f t="shared" si="50"/>
        <v>2499</v>
      </c>
      <c r="G50" s="86">
        <f t="shared" si="50"/>
        <v>0</v>
      </c>
      <c r="H50" s="86">
        <f t="shared" si="50"/>
        <v>0</v>
      </c>
      <c r="I50" s="86">
        <f t="shared" si="50"/>
        <v>0</v>
      </c>
      <c r="J50" s="86">
        <f t="shared" si="50"/>
        <v>0</v>
      </c>
      <c r="K50" s="86">
        <f t="shared" si="50"/>
        <v>0</v>
      </c>
      <c r="L50" s="86">
        <f t="shared" si="50"/>
        <v>0</v>
      </c>
      <c r="M50" s="86">
        <f t="shared" si="50"/>
        <v>0</v>
      </c>
      <c r="N50" s="86">
        <f t="shared" si="50"/>
        <v>0</v>
      </c>
      <c r="O50" s="86">
        <f t="shared" si="50"/>
        <v>0</v>
      </c>
      <c r="P50" s="86">
        <f t="shared" si="50"/>
        <v>0</v>
      </c>
      <c r="Q50" s="86">
        <f t="shared" si="50"/>
        <v>0</v>
      </c>
      <c r="R50" s="87">
        <f t="shared" si="11"/>
        <v>30468.959999999999</v>
      </c>
      <c r="S50" s="19">
        <v>6137</v>
      </c>
      <c r="T50" s="19">
        <f>S50/9*12</f>
        <v>8182.666666666667</v>
      </c>
      <c r="U50" s="8">
        <v>22500</v>
      </c>
      <c r="V50" s="68">
        <f>R50/U50-1</f>
        <v>0.35417600000000005</v>
      </c>
    </row>
    <row r="51" spans="1:23" x14ac:dyDescent="0.3">
      <c r="A51" s="29" t="s">
        <v>43</v>
      </c>
      <c r="B51" s="29"/>
      <c r="C51" s="14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>
        <f t="shared" si="11"/>
        <v>0</v>
      </c>
      <c r="S51" s="19"/>
      <c r="T51" s="19"/>
      <c r="U51" s="8"/>
      <c r="V51" s="9"/>
    </row>
    <row r="52" spans="1:23" x14ac:dyDescent="0.3">
      <c r="A52" s="29"/>
      <c r="B52" s="29" t="s">
        <v>44</v>
      </c>
      <c r="C52" s="14"/>
      <c r="D52" s="24">
        <f>239*12</f>
        <v>2868</v>
      </c>
      <c r="E52" s="24"/>
      <c r="F52" s="24"/>
      <c r="G52" s="24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9">
        <f t="shared" si="11"/>
        <v>2868</v>
      </c>
      <c r="S52" s="19"/>
      <c r="T52" s="19"/>
      <c r="U52" s="8">
        <v>12865</v>
      </c>
      <c r="V52" s="9"/>
      <c r="W52" t="s">
        <v>140</v>
      </c>
    </row>
    <row r="53" spans="1:23" ht="15" thickBot="1" x14ac:dyDescent="0.35">
      <c r="A53" s="29"/>
      <c r="B53" s="29" t="s">
        <v>45</v>
      </c>
      <c r="C53" s="14"/>
      <c r="D53" s="55">
        <f>1680</f>
        <v>1680</v>
      </c>
      <c r="E53" s="54"/>
      <c r="F53" s="32"/>
      <c r="G53" s="32"/>
      <c r="H53" s="31">
        <v>120</v>
      </c>
      <c r="I53" s="32">
        <f>850*12+1000</f>
        <v>11200</v>
      </c>
      <c r="J53" s="31"/>
      <c r="K53" s="31"/>
      <c r="L53" s="31"/>
      <c r="M53" s="31">
        <f>(26.5*8)</f>
        <v>212</v>
      </c>
      <c r="N53" s="31"/>
      <c r="O53" s="31"/>
      <c r="P53" s="31"/>
      <c r="Q53" s="31"/>
      <c r="R53" s="53">
        <f t="shared" si="11"/>
        <v>13212</v>
      </c>
      <c r="S53" s="27"/>
      <c r="T53" s="27"/>
      <c r="U53" s="47">
        <v>31965</v>
      </c>
      <c r="V53" s="71"/>
    </row>
    <row r="54" spans="1:23" x14ac:dyDescent="0.3">
      <c r="A54" s="29" t="s">
        <v>46</v>
      </c>
      <c r="B54" s="29"/>
      <c r="C54" s="14"/>
      <c r="D54" s="86">
        <f>SUM(D52:D53)</f>
        <v>4548</v>
      </c>
      <c r="E54" s="86">
        <f t="shared" ref="E54:Q54" si="51">SUM(E52:E53)</f>
        <v>0</v>
      </c>
      <c r="F54" s="86">
        <f t="shared" si="51"/>
        <v>0</v>
      </c>
      <c r="G54" s="86">
        <f t="shared" si="51"/>
        <v>0</v>
      </c>
      <c r="H54" s="86">
        <f t="shared" si="51"/>
        <v>120</v>
      </c>
      <c r="I54" s="86">
        <f t="shared" si="51"/>
        <v>11200</v>
      </c>
      <c r="J54" s="86">
        <f t="shared" si="51"/>
        <v>0</v>
      </c>
      <c r="K54" s="86">
        <f t="shared" si="51"/>
        <v>0</v>
      </c>
      <c r="L54" s="86">
        <f t="shared" si="51"/>
        <v>0</v>
      </c>
      <c r="M54" s="86">
        <f t="shared" si="51"/>
        <v>212</v>
      </c>
      <c r="N54" s="86">
        <f t="shared" si="51"/>
        <v>0</v>
      </c>
      <c r="O54" s="86">
        <f t="shared" si="51"/>
        <v>0</v>
      </c>
      <c r="P54" s="86">
        <f t="shared" si="51"/>
        <v>0</v>
      </c>
      <c r="Q54" s="86">
        <f t="shared" si="51"/>
        <v>0</v>
      </c>
      <c r="R54" s="87">
        <f t="shared" si="11"/>
        <v>16080</v>
      </c>
      <c r="S54" s="19">
        <v>12418</v>
      </c>
      <c r="T54" s="19">
        <f>S54/9*12</f>
        <v>16557.333333333336</v>
      </c>
      <c r="U54" s="8">
        <v>44830</v>
      </c>
      <c r="V54" s="68">
        <f>R54/U54-1</f>
        <v>-0.64131162168190947</v>
      </c>
    </row>
    <row r="55" spans="1:23" x14ac:dyDescent="0.3">
      <c r="A55" s="29" t="s">
        <v>47</v>
      </c>
      <c r="B55" s="29"/>
      <c r="C55" s="14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9">
        <f t="shared" si="11"/>
        <v>0</v>
      </c>
      <c r="S55" s="19"/>
      <c r="T55" s="19"/>
      <c r="U55" s="8"/>
      <c r="V55" s="9"/>
    </row>
    <row r="56" spans="1:23" x14ac:dyDescent="0.3">
      <c r="A56" s="29"/>
      <c r="B56" s="29" t="s">
        <v>48</v>
      </c>
      <c r="C56" s="14"/>
      <c r="D56" s="3">
        <v>10000</v>
      </c>
      <c r="E56" s="18"/>
      <c r="F56" s="18"/>
      <c r="G56" s="18">
        <v>1500</v>
      </c>
      <c r="H56" s="18"/>
      <c r="I56" s="18">
        <v>27000</v>
      </c>
      <c r="J56" s="18"/>
      <c r="K56" s="18"/>
      <c r="L56" s="18"/>
      <c r="M56" s="18"/>
      <c r="N56" s="18">
        <v>55000</v>
      </c>
      <c r="O56" s="18">
        <v>0</v>
      </c>
      <c r="P56" s="18"/>
      <c r="Q56" s="18"/>
      <c r="R56" s="19">
        <f t="shared" si="11"/>
        <v>93500</v>
      </c>
      <c r="S56" s="19"/>
      <c r="T56" s="19"/>
      <c r="U56" s="8">
        <v>86120</v>
      </c>
      <c r="V56" s="9"/>
    </row>
    <row r="57" spans="1:23" x14ac:dyDescent="0.3">
      <c r="A57" s="29"/>
      <c r="B57" s="29" t="s">
        <v>49</v>
      </c>
      <c r="C57" s="14"/>
      <c r="D57" s="18"/>
      <c r="E57" s="18"/>
      <c r="F57" s="18"/>
      <c r="G57" s="18"/>
      <c r="H57" s="18">
        <v>1000</v>
      </c>
      <c r="I57" s="18">
        <v>27500</v>
      </c>
      <c r="J57" s="18"/>
      <c r="K57" s="18"/>
      <c r="L57" s="18"/>
      <c r="M57" s="18"/>
      <c r="N57" s="18"/>
      <c r="O57" s="18"/>
      <c r="P57" s="18">
        <f>2500*20</f>
        <v>50000</v>
      </c>
      <c r="Q57" s="18"/>
      <c r="R57" s="19">
        <f t="shared" si="11"/>
        <v>78500</v>
      </c>
      <c r="S57" s="19"/>
      <c r="T57" s="19"/>
      <c r="U57" s="8">
        <v>55787</v>
      </c>
      <c r="V57" s="9"/>
      <c r="W57" t="s">
        <v>141</v>
      </c>
    </row>
    <row r="58" spans="1:23" ht="15" thickBot="1" x14ac:dyDescent="0.35">
      <c r="A58" s="29"/>
      <c r="B58" s="29" t="s">
        <v>50</v>
      </c>
      <c r="C58" s="14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3">
        <f t="shared" si="11"/>
        <v>0</v>
      </c>
      <c r="S58" s="27"/>
      <c r="T58" s="27"/>
      <c r="U58" s="47">
        <v>20200</v>
      </c>
      <c r="V58" s="72"/>
    </row>
    <row r="59" spans="1:23" x14ac:dyDescent="0.3">
      <c r="A59" s="29" t="s">
        <v>51</v>
      </c>
      <c r="B59" s="29"/>
      <c r="C59" s="14"/>
      <c r="D59" s="86">
        <f t="shared" ref="D59:Q59" si="52">SUM(D56:D58)</f>
        <v>10000</v>
      </c>
      <c r="E59" s="86">
        <f t="shared" si="52"/>
        <v>0</v>
      </c>
      <c r="F59" s="86">
        <f t="shared" si="52"/>
        <v>0</v>
      </c>
      <c r="G59" s="86">
        <f t="shared" si="52"/>
        <v>1500</v>
      </c>
      <c r="H59" s="86">
        <f t="shared" si="52"/>
        <v>1000</v>
      </c>
      <c r="I59" s="86">
        <f t="shared" si="52"/>
        <v>54500</v>
      </c>
      <c r="J59" s="86">
        <f t="shared" si="52"/>
        <v>0</v>
      </c>
      <c r="K59" s="86">
        <f t="shared" si="52"/>
        <v>0</v>
      </c>
      <c r="L59" s="86">
        <f t="shared" si="52"/>
        <v>0</v>
      </c>
      <c r="M59" s="86">
        <f t="shared" si="52"/>
        <v>0</v>
      </c>
      <c r="N59" s="86">
        <f t="shared" si="52"/>
        <v>55000</v>
      </c>
      <c r="O59" s="86">
        <f t="shared" si="52"/>
        <v>0</v>
      </c>
      <c r="P59" s="86">
        <f t="shared" si="52"/>
        <v>50000</v>
      </c>
      <c r="Q59" s="86">
        <f t="shared" si="52"/>
        <v>0</v>
      </c>
      <c r="R59" s="87">
        <f t="shared" si="11"/>
        <v>172000</v>
      </c>
      <c r="S59" s="19">
        <v>106923</v>
      </c>
      <c r="T59" s="19">
        <v>115000</v>
      </c>
      <c r="U59" s="8">
        <v>162107</v>
      </c>
      <c r="V59" s="68">
        <f>R59/U59-1</f>
        <v>6.1027592886180093E-2</v>
      </c>
    </row>
    <row r="60" spans="1:23" x14ac:dyDescent="0.3">
      <c r="A60" s="29" t="s">
        <v>52</v>
      </c>
      <c r="B60" s="29"/>
      <c r="C60" s="14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>
        <f t="shared" si="11"/>
        <v>0</v>
      </c>
      <c r="S60" s="19"/>
      <c r="T60" s="19"/>
      <c r="U60" s="8">
        <v>0</v>
      </c>
      <c r="V60" s="9"/>
    </row>
    <row r="61" spans="1:23" ht="15" thickBot="1" x14ac:dyDescent="0.35">
      <c r="A61" s="29"/>
      <c r="B61" s="29" t="s">
        <v>53</v>
      </c>
      <c r="C61" s="14"/>
      <c r="D61" s="25">
        <f>8988.21+(2565*12)</f>
        <v>39768.21</v>
      </c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3">
        <f t="shared" si="11"/>
        <v>39768.21</v>
      </c>
      <c r="S61" s="27"/>
      <c r="T61" s="27"/>
      <c r="U61" s="47">
        <v>35000</v>
      </c>
      <c r="V61" s="71"/>
    </row>
    <row r="62" spans="1:23" x14ac:dyDescent="0.3">
      <c r="A62" s="29" t="s">
        <v>54</v>
      </c>
      <c r="B62" s="29"/>
      <c r="C62" s="14"/>
      <c r="D62" s="86">
        <f>D61</f>
        <v>39768.21</v>
      </c>
      <c r="E62" s="86">
        <f t="shared" ref="E62:Q62" si="53">E61</f>
        <v>0</v>
      </c>
      <c r="F62" s="86">
        <f t="shared" si="53"/>
        <v>0</v>
      </c>
      <c r="G62" s="86">
        <f t="shared" si="53"/>
        <v>0</v>
      </c>
      <c r="H62" s="86">
        <f t="shared" si="53"/>
        <v>0</v>
      </c>
      <c r="I62" s="86">
        <f t="shared" si="53"/>
        <v>0</v>
      </c>
      <c r="J62" s="86">
        <f t="shared" si="53"/>
        <v>0</v>
      </c>
      <c r="K62" s="86">
        <f t="shared" si="53"/>
        <v>0</v>
      </c>
      <c r="L62" s="86">
        <f t="shared" si="53"/>
        <v>0</v>
      </c>
      <c r="M62" s="86">
        <f t="shared" si="53"/>
        <v>0</v>
      </c>
      <c r="N62" s="86">
        <f t="shared" si="53"/>
        <v>0</v>
      </c>
      <c r="O62" s="86">
        <f t="shared" si="53"/>
        <v>0</v>
      </c>
      <c r="P62" s="86">
        <f t="shared" si="53"/>
        <v>0</v>
      </c>
      <c r="Q62" s="86">
        <f t="shared" si="53"/>
        <v>0</v>
      </c>
      <c r="R62" s="87">
        <f t="shared" si="11"/>
        <v>39768.21</v>
      </c>
      <c r="S62" s="19">
        <v>36364</v>
      </c>
      <c r="T62" s="19">
        <v>37000</v>
      </c>
      <c r="U62" s="8">
        <v>35000</v>
      </c>
      <c r="V62" s="68">
        <f>R62/U62-1</f>
        <v>0.13623457142857132</v>
      </c>
    </row>
    <row r="63" spans="1:23" x14ac:dyDescent="0.3">
      <c r="A63" s="29" t="s">
        <v>55</v>
      </c>
      <c r="B63" s="29"/>
      <c r="C63" s="14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>
        <f t="shared" si="11"/>
        <v>0</v>
      </c>
      <c r="S63" s="19"/>
      <c r="T63" s="19"/>
      <c r="U63" s="8"/>
      <c r="V63" s="9"/>
    </row>
    <row r="64" spans="1:23" ht="15" thickBot="1" x14ac:dyDescent="0.35">
      <c r="A64" s="29"/>
      <c r="B64" s="29" t="s">
        <v>56</v>
      </c>
      <c r="C64" s="14"/>
      <c r="D64" s="31">
        <v>20000</v>
      </c>
      <c r="E64" s="31"/>
      <c r="F64" s="31"/>
      <c r="G64" s="31"/>
      <c r="H64" s="31"/>
      <c r="I64" s="31">
        <v>57000</v>
      </c>
      <c r="J64" s="31"/>
      <c r="K64" s="31"/>
      <c r="L64" s="31"/>
      <c r="M64" s="31"/>
      <c r="N64" s="31"/>
      <c r="O64" s="31"/>
      <c r="P64" s="31"/>
      <c r="Q64" s="31"/>
      <c r="R64" s="53">
        <f t="shared" si="11"/>
        <v>77000</v>
      </c>
      <c r="S64" s="53"/>
      <c r="T64" s="53"/>
      <c r="U64" s="48">
        <v>35500</v>
      </c>
      <c r="V64" s="71"/>
      <c r="W64" t="s">
        <v>142</v>
      </c>
    </row>
    <row r="65" spans="1:23" x14ac:dyDescent="0.3">
      <c r="A65" s="29" t="s">
        <v>57</v>
      </c>
      <c r="B65" s="29"/>
      <c r="C65" s="14"/>
      <c r="D65" s="86">
        <f>D64</f>
        <v>20000</v>
      </c>
      <c r="E65" s="86">
        <f t="shared" ref="E65:Q65" si="54">E64</f>
        <v>0</v>
      </c>
      <c r="F65" s="86">
        <f t="shared" si="54"/>
        <v>0</v>
      </c>
      <c r="G65" s="86">
        <f t="shared" si="54"/>
        <v>0</v>
      </c>
      <c r="H65" s="86">
        <f t="shared" si="54"/>
        <v>0</v>
      </c>
      <c r="I65" s="86">
        <f t="shared" si="54"/>
        <v>57000</v>
      </c>
      <c r="J65" s="86">
        <f t="shared" si="54"/>
        <v>0</v>
      </c>
      <c r="K65" s="86">
        <f t="shared" si="54"/>
        <v>0</v>
      </c>
      <c r="L65" s="86">
        <f t="shared" si="54"/>
        <v>0</v>
      </c>
      <c r="M65" s="86">
        <f t="shared" si="54"/>
        <v>0</v>
      </c>
      <c r="N65" s="86">
        <f t="shared" si="54"/>
        <v>0</v>
      </c>
      <c r="O65" s="86">
        <f t="shared" si="54"/>
        <v>0</v>
      </c>
      <c r="P65" s="86">
        <f t="shared" si="54"/>
        <v>0</v>
      </c>
      <c r="Q65" s="86">
        <f t="shared" si="54"/>
        <v>0</v>
      </c>
      <c r="R65" s="87">
        <f t="shared" si="11"/>
        <v>77000</v>
      </c>
      <c r="S65" s="19">
        <v>35572</v>
      </c>
      <c r="T65" s="19">
        <v>35572</v>
      </c>
      <c r="U65" s="8">
        <v>35500</v>
      </c>
      <c r="V65" s="68">
        <f>R65/U65-1</f>
        <v>1.1690140845070425</v>
      </c>
    </row>
    <row r="66" spans="1:23" x14ac:dyDescent="0.3">
      <c r="A66" s="29" t="s">
        <v>108</v>
      </c>
      <c r="B66" s="29"/>
      <c r="C66" s="14"/>
      <c r="D66" s="86">
        <v>60000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210">
        <f t="shared" si="11"/>
        <v>60000</v>
      </c>
      <c r="S66" s="19"/>
      <c r="T66" s="19"/>
      <c r="U66" s="8">
        <v>30000</v>
      </c>
      <c r="V66" s="9"/>
      <c r="W66" t="s">
        <v>143</v>
      </c>
    </row>
    <row r="67" spans="1:23" x14ac:dyDescent="0.3">
      <c r="A67" s="29" t="s">
        <v>58</v>
      </c>
      <c r="B67" s="29"/>
      <c r="C67" s="14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>
        <f t="shared" si="11"/>
        <v>0</v>
      </c>
      <c r="S67" s="19"/>
      <c r="T67" s="19"/>
      <c r="U67" s="8">
        <v>0</v>
      </c>
      <c r="V67" s="9"/>
    </row>
    <row r="68" spans="1:23" x14ac:dyDescent="0.3">
      <c r="A68" s="29"/>
      <c r="B68" s="29" t="s">
        <v>59</v>
      </c>
      <c r="C68" s="14"/>
      <c r="D68" s="18">
        <f>(3902*5)+(4058*7)+3000</f>
        <v>50916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9">
        <f t="shared" si="11"/>
        <v>50916</v>
      </c>
      <c r="S68" s="19"/>
      <c r="T68" s="19"/>
      <c r="U68" s="8">
        <v>96000</v>
      </c>
      <c r="V68" s="9"/>
    </row>
    <row r="69" spans="1:23" x14ac:dyDescent="0.3">
      <c r="A69" s="29"/>
      <c r="B69" s="29" t="s">
        <v>60</v>
      </c>
      <c r="C69" s="14"/>
      <c r="D69" s="18">
        <v>25000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9">
        <f t="shared" si="11"/>
        <v>25000</v>
      </c>
      <c r="S69" s="19"/>
      <c r="T69" s="19"/>
      <c r="U69" s="8">
        <v>0</v>
      </c>
      <c r="V69" s="9"/>
    </row>
    <row r="70" spans="1:23" x14ac:dyDescent="0.3">
      <c r="A70" s="29"/>
      <c r="B70" s="29" t="s">
        <v>61</v>
      </c>
      <c r="C70" s="14"/>
      <c r="D70" s="18">
        <f>66.42*12</f>
        <v>797.04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>
        <f t="shared" si="11"/>
        <v>797.04</v>
      </c>
      <c r="S70" s="19"/>
      <c r="T70" s="19"/>
      <c r="U70" s="8">
        <v>0</v>
      </c>
      <c r="V70" s="9"/>
    </row>
    <row r="71" spans="1:23" x14ac:dyDescent="0.3">
      <c r="A71" s="29"/>
      <c r="B71" s="29" t="s">
        <v>62</v>
      </c>
      <c r="C71" s="14"/>
      <c r="D71" s="18">
        <f>(260*12)+(325*12)</f>
        <v>7020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>
        <f t="shared" si="11"/>
        <v>7020</v>
      </c>
      <c r="S71" s="19"/>
      <c r="T71" s="19"/>
      <c r="U71" s="8">
        <v>0</v>
      </c>
      <c r="V71" s="9"/>
    </row>
    <row r="72" spans="1:23" x14ac:dyDescent="0.3">
      <c r="A72" s="29"/>
      <c r="B72" s="29" t="s">
        <v>63</v>
      </c>
      <c r="C72" s="14"/>
      <c r="D72" s="18">
        <v>7500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>
        <f t="shared" si="11"/>
        <v>7500</v>
      </c>
      <c r="S72" s="19"/>
      <c r="T72" s="19"/>
      <c r="U72" s="8">
        <v>0</v>
      </c>
      <c r="V72" s="9"/>
    </row>
    <row r="73" spans="1:23" ht="15" thickBot="1" x14ac:dyDescent="0.35">
      <c r="A73" s="29"/>
      <c r="B73" s="29" t="s">
        <v>64</v>
      </c>
      <c r="C73" s="14"/>
      <c r="D73" s="31">
        <f>(268.7*12)+(329.74*12)</f>
        <v>7181.28</v>
      </c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53">
        <f t="shared" si="11"/>
        <v>7181.28</v>
      </c>
      <c r="S73" s="53"/>
      <c r="T73" s="53"/>
      <c r="U73" s="48">
        <v>0</v>
      </c>
      <c r="V73" s="71"/>
    </row>
    <row r="74" spans="1:23" x14ac:dyDescent="0.3">
      <c r="A74" s="29" t="s">
        <v>65</v>
      </c>
      <c r="B74" s="29"/>
      <c r="C74" s="14"/>
      <c r="D74" s="86">
        <f>SUM(D68:D73)</f>
        <v>98414.319999999992</v>
      </c>
      <c r="E74" s="86">
        <f t="shared" ref="E74:Q74" si="55">SUM(E68:E73)</f>
        <v>0</v>
      </c>
      <c r="F74" s="86">
        <f t="shared" si="55"/>
        <v>0</v>
      </c>
      <c r="G74" s="86">
        <f t="shared" si="55"/>
        <v>0</v>
      </c>
      <c r="H74" s="86">
        <f t="shared" si="55"/>
        <v>0</v>
      </c>
      <c r="I74" s="86">
        <f t="shared" si="55"/>
        <v>0</v>
      </c>
      <c r="J74" s="86">
        <f t="shared" si="55"/>
        <v>0</v>
      </c>
      <c r="K74" s="86">
        <f t="shared" si="55"/>
        <v>0</v>
      </c>
      <c r="L74" s="86">
        <f t="shared" si="55"/>
        <v>0</v>
      </c>
      <c r="M74" s="86">
        <f t="shared" si="55"/>
        <v>0</v>
      </c>
      <c r="N74" s="86">
        <f t="shared" si="55"/>
        <v>0</v>
      </c>
      <c r="O74" s="86">
        <f t="shared" si="55"/>
        <v>0</v>
      </c>
      <c r="P74" s="86">
        <f t="shared" si="55"/>
        <v>0</v>
      </c>
      <c r="Q74" s="86">
        <f t="shared" si="55"/>
        <v>0</v>
      </c>
      <c r="R74" s="87">
        <f t="shared" si="11"/>
        <v>98414.319999999992</v>
      </c>
      <c r="S74" s="19">
        <v>65176</v>
      </c>
      <c r="T74" s="19">
        <v>90000</v>
      </c>
      <c r="U74" s="8">
        <v>96000</v>
      </c>
      <c r="V74" s="68">
        <f>R74/U74-1</f>
        <v>2.5149166666666556E-2</v>
      </c>
    </row>
    <row r="75" spans="1:23" x14ac:dyDescent="0.3">
      <c r="A75" s="29" t="s">
        <v>66</v>
      </c>
      <c r="B75" s="29"/>
      <c r="C75" s="14"/>
      <c r="D75" s="18"/>
      <c r="E75" s="18"/>
      <c r="F75" s="18"/>
      <c r="G75" s="18"/>
      <c r="H75" s="18"/>
      <c r="I75" s="24"/>
      <c r="J75" s="18"/>
      <c r="K75" s="18"/>
      <c r="L75" s="18"/>
      <c r="M75" s="18"/>
      <c r="N75" s="18"/>
      <c r="O75" s="18"/>
      <c r="P75" s="18"/>
      <c r="Q75" s="18"/>
      <c r="R75" s="19">
        <f t="shared" si="11"/>
        <v>0</v>
      </c>
      <c r="S75" s="19"/>
      <c r="T75" s="19"/>
      <c r="U75" s="8"/>
      <c r="V75" s="9"/>
    </row>
    <row r="76" spans="1:23" x14ac:dyDescent="0.3">
      <c r="A76" s="29"/>
      <c r="B76" s="29" t="s">
        <v>67</v>
      </c>
      <c r="C76" s="14"/>
      <c r="D76" s="18">
        <v>5000</v>
      </c>
      <c r="E76" s="18"/>
      <c r="F76" s="18"/>
      <c r="G76" s="18"/>
      <c r="H76" s="18"/>
      <c r="I76" s="24"/>
      <c r="J76" s="18">
        <v>250</v>
      </c>
      <c r="K76" s="18"/>
      <c r="L76" s="18"/>
      <c r="M76" s="18">
        <v>336</v>
      </c>
      <c r="N76" s="18">
        <v>1500</v>
      </c>
      <c r="O76" s="18"/>
      <c r="P76" s="18"/>
      <c r="Q76" s="18"/>
      <c r="R76" s="19">
        <f t="shared" si="11"/>
        <v>7086</v>
      </c>
      <c r="S76" s="19"/>
      <c r="T76" s="19"/>
      <c r="U76" s="8">
        <v>3350</v>
      </c>
      <c r="V76" s="9"/>
      <c r="W76" t="s">
        <v>145</v>
      </c>
    </row>
    <row r="77" spans="1:23" x14ac:dyDescent="0.3">
      <c r="A77" s="29"/>
      <c r="B77" s="29" t="s">
        <v>68</v>
      </c>
      <c r="C77" s="14"/>
      <c r="D77" s="18">
        <v>5000</v>
      </c>
      <c r="E77" s="18"/>
      <c r="F77" s="18"/>
      <c r="G77" s="18"/>
      <c r="H77" s="18"/>
      <c r="I77" s="24"/>
      <c r="J77" s="18"/>
      <c r="K77" s="18"/>
      <c r="L77" s="18"/>
      <c r="M77" s="18"/>
      <c r="N77" s="18"/>
      <c r="O77" s="18"/>
      <c r="P77" s="18"/>
      <c r="Q77" s="18"/>
      <c r="R77" s="19">
        <f t="shared" si="11"/>
        <v>5000</v>
      </c>
      <c r="S77" s="19"/>
      <c r="T77" s="19"/>
      <c r="U77" s="8">
        <v>250</v>
      </c>
      <c r="V77" s="9"/>
      <c r="W77" t="s">
        <v>144</v>
      </c>
    </row>
    <row r="78" spans="1:23" ht="15" thickBot="1" x14ac:dyDescent="0.35">
      <c r="A78" s="29"/>
      <c r="B78" s="29" t="s">
        <v>69</v>
      </c>
      <c r="C78" s="14"/>
      <c r="D78" s="31">
        <v>2500</v>
      </c>
      <c r="E78" s="31"/>
      <c r="F78" s="31"/>
      <c r="G78" s="31"/>
      <c r="H78" s="31"/>
      <c r="I78" s="32"/>
      <c r="J78" s="31"/>
      <c r="K78" s="31"/>
      <c r="L78" s="31"/>
      <c r="M78" s="31"/>
      <c r="N78" s="31"/>
      <c r="O78" s="31"/>
      <c r="P78" s="31"/>
      <c r="Q78" s="31"/>
      <c r="R78" s="53">
        <f t="shared" si="11"/>
        <v>2500</v>
      </c>
      <c r="S78" s="53"/>
      <c r="T78" s="53"/>
      <c r="U78" s="48">
        <v>1500</v>
      </c>
      <c r="V78" s="71"/>
    </row>
    <row r="79" spans="1:23" x14ac:dyDescent="0.3">
      <c r="A79" s="29" t="s">
        <v>70</v>
      </c>
      <c r="B79" s="29"/>
      <c r="C79" s="14"/>
      <c r="D79" s="86">
        <f t="shared" ref="D79:Q79" si="56">SUM(D76:D78)</f>
        <v>12500</v>
      </c>
      <c r="E79" s="86">
        <f t="shared" si="56"/>
        <v>0</v>
      </c>
      <c r="F79" s="86">
        <f t="shared" si="56"/>
        <v>0</v>
      </c>
      <c r="G79" s="86">
        <f t="shared" si="56"/>
        <v>0</v>
      </c>
      <c r="H79" s="86">
        <f t="shared" si="56"/>
        <v>0</v>
      </c>
      <c r="I79" s="86">
        <f t="shared" si="56"/>
        <v>0</v>
      </c>
      <c r="J79" s="86">
        <f t="shared" si="56"/>
        <v>250</v>
      </c>
      <c r="K79" s="86">
        <f t="shared" si="56"/>
        <v>0</v>
      </c>
      <c r="L79" s="86">
        <f t="shared" si="56"/>
        <v>0</v>
      </c>
      <c r="M79" s="86">
        <f t="shared" si="56"/>
        <v>336</v>
      </c>
      <c r="N79" s="86">
        <f t="shared" si="56"/>
        <v>1500</v>
      </c>
      <c r="O79" s="86">
        <f t="shared" si="56"/>
        <v>0</v>
      </c>
      <c r="P79" s="86">
        <f t="shared" si="56"/>
        <v>0</v>
      </c>
      <c r="Q79" s="86">
        <f t="shared" si="56"/>
        <v>0</v>
      </c>
      <c r="R79" s="87">
        <f t="shared" si="11"/>
        <v>14586</v>
      </c>
      <c r="S79" s="19">
        <v>3394</v>
      </c>
      <c r="T79" s="19">
        <f>S79/9*12</f>
        <v>4525.333333333333</v>
      </c>
      <c r="U79" s="8">
        <v>5100</v>
      </c>
      <c r="V79" s="68">
        <f>R79/U79-1</f>
        <v>1.8599999999999999</v>
      </c>
    </row>
    <row r="80" spans="1:23" x14ac:dyDescent="0.3">
      <c r="A80" s="29" t="s">
        <v>71</v>
      </c>
      <c r="B80" s="29"/>
      <c r="C80" s="14"/>
      <c r="D80" s="18"/>
      <c r="E80" s="18"/>
      <c r="F80" s="18"/>
      <c r="G80" s="18"/>
      <c r="H80" s="18"/>
      <c r="I80" s="24"/>
      <c r="J80" s="18"/>
      <c r="K80" s="18"/>
      <c r="L80" s="18"/>
      <c r="M80" s="18"/>
      <c r="N80" s="18"/>
      <c r="O80" s="18"/>
      <c r="P80" s="18"/>
      <c r="Q80" s="18"/>
      <c r="R80" s="19">
        <f t="shared" si="11"/>
        <v>0</v>
      </c>
      <c r="S80" s="19"/>
      <c r="T80" s="19"/>
      <c r="U80" s="8"/>
      <c r="V80" s="9"/>
    </row>
    <row r="81" spans="1:23" x14ac:dyDescent="0.3">
      <c r="A81" s="29"/>
      <c r="B81" s="29" t="s">
        <v>72</v>
      </c>
      <c r="C81" s="14"/>
      <c r="D81" s="18"/>
      <c r="E81" s="18"/>
      <c r="F81" s="18">
        <v>7500</v>
      </c>
      <c r="G81" s="18">
        <v>2500</v>
      </c>
      <c r="H81" s="18">
        <v>5000</v>
      </c>
      <c r="I81" s="24">
        <v>7500</v>
      </c>
      <c r="J81" s="18">
        <v>1398</v>
      </c>
      <c r="K81" s="18">
        <v>10000</v>
      </c>
      <c r="L81" s="18">
        <f>0.825*L23</f>
        <v>129937.5</v>
      </c>
      <c r="M81" s="18">
        <v>12500</v>
      </c>
      <c r="N81" s="18">
        <v>3500</v>
      </c>
      <c r="O81" s="18">
        <v>17700</v>
      </c>
      <c r="P81" s="18">
        <v>6320</v>
      </c>
      <c r="Q81" s="18"/>
      <c r="R81" s="19">
        <f t="shared" si="11"/>
        <v>203855.5</v>
      </c>
      <c r="S81" s="19"/>
      <c r="T81" s="19"/>
      <c r="U81" s="8">
        <v>184258</v>
      </c>
      <c r="V81" s="9"/>
    </row>
    <row r="82" spans="1:23" ht="15" thickBot="1" x14ac:dyDescent="0.35">
      <c r="A82" s="29"/>
      <c r="B82" s="29" t="s">
        <v>73</v>
      </c>
      <c r="C82" s="14"/>
      <c r="D82" s="31"/>
      <c r="E82" s="31"/>
      <c r="F82" s="31">
        <v>25000</v>
      </c>
      <c r="G82" s="31"/>
      <c r="H82" s="31">
        <v>10000</v>
      </c>
      <c r="I82" s="32">
        <v>35000</v>
      </c>
      <c r="J82" s="31">
        <v>1750</v>
      </c>
      <c r="K82" s="31"/>
      <c r="L82" s="31"/>
      <c r="M82" s="31">
        <v>25000</v>
      </c>
      <c r="N82" s="31">
        <v>7500</v>
      </c>
      <c r="O82" s="31">
        <v>0</v>
      </c>
      <c r="P82" s="31">
        <v>6000</v>
      </c>
      <c r="Q82" s="31"/>
      <c r="R82" s="53">
        <f t="shared" si="11"/>
        <v>110250</v>
      </c>
      <c r="S82" s="53"/>
      <c r="T82" s="53"/>
      <c r="U82" s="48">
        <v>81492</v>
      </c>
      <c r="V82" s="71"/>
    </row>
    <row r="83" spans="1:23" x14ac:dyDescent="0.3">
      <c r="A83" s="29" t="s">
        <v>74</v>
      </c>
      <c r="B83" s="29"/>
      <c r="C83" s="14"/>
      <c r="D83" s="86">
        <f t="shared" ref="D83:Q83" si="57">SUM(D81:D82)</f>
        <v>0</v>
      </c>
      <c r="E83" s="86">
        <f t="shared" si="57"/>
        <v>0</v>
      </c>
      <c r="F83" s="86">
        <f t="shared" si="57"/>
        <v>32500</v>
      </c>
      <c r="G83" s="86">
        <f t="shared" si="57"/>
        <v>2500</v>
      </c>
      <c r="H83" s="86">
        <f t="shared" si="57"/>
        <v>15000</v>
      </c>
      <c r="I83" s="86">
        <f t="shared" si="57"/>
        <v>42500</v>
      </c>
      <c r="J83" s="86">
        <f t="shared" si="57"/>
        <v>3148</v>
      </c>
      <c r="K83" s="86">
        <f t="shared" si="57"/>
        <v>10000</v>
      </c>
      <c r="L83" s="86">
        <f t="shared" si="57"/>
        <v>129937.5</v>
      </c>
      <c r="M83" s="86">
        <f t="shared" si="57"/>
        <v>37500</v>
      </c>
      <c r="N83" s="86">
        <f t="shared" si="57"/>
        <v>11000</v>
      </c>
      <c r="O83" s="86">
        <f t="shared" si="57"/>
        <v>17700</v>
      </c>
      <c r="P83" s="86">
        <f t="shared" si="57"/>
        <v>12320</v>
      </c>
      <c r="Q83" s="86">
        <f t="shared" si="57"/>
        <v>0</v>
      </c>
      <c r="R83" s="87">
        <f t="shared" si="11"/>
        <v>314105.5</v>
      </c>
      <c r="S83" s="28">
        <v>271397</v>
      </c>
      <c r="T83" s="19">
        <v>295000</v>
      </c>
      <c r="U83" s="8">
        <v>265750</v>
      </c>
      <c r="V83" s="68">
        <f>R83/U83-1</f>
        <v>0.18195860771401695</v>
      </c>
      <c r="W83" t="s">
        <v>146</v>
      </c>
    </row>
    <row r="84" spans="1:23" x14ac:dyDescent="0.3">
      <c r="A84" s="29" t="s">
        <v>75</v>
      </c>
      <c r="B84" s="29"/>
      <c r="C84" s="14"/>
      <c r="D84" s="18"/>
      <c r="E84" s="18">
        <v>9000</v>
      </c>
      <c r="F84" s="18"/>
      <c r="G84" s="18"/>
      <c r="H84" s="18"/>
      <c r="I84" s="24"/>
      <c r="J84" s="18">
        <v>500</v>
      </c>
      <c r="K84" s="18">
        <v>3273</v>
      </c>
      <c r="L84" s="18"/>
      <c r="M84" s="18"/>
      <c r="N84" s="18"/>
      <c r="O84" s="18"/>
      <c r="P84" s="18"/>
      <c r="Q84" s="18"/>
      <c r="R84" s="210">
        <f t="shared" si="11"/>
        <v>12773</v>
      </c>
      <c r="S84" s="210">
        <v>4962</v>
      </c>
      <c r="T84" s="210">
        <f>S84/9*12</f>
        <v>6616</v>
      </c>
      <c r="U84" s="211">
        <v>15973</v>
      </c>
      <c r="V84" s="212"/>
    </row>
    <row r="85" spans="1:23" x14ac:dyDescent="0.3">
      <c r="A85" s="29" t="s">
        <v>76</v>
      </c>
      <c r="B85" s="29"/>
      <c r="C85" s="14"/>
      <c r="D85" s="18"/>
      <c r="E85" s="18"/>
      <c r="F85" s="18"/>
      <c r="G85" s="18"/>
      <c r="H85" s="18"/>
      <c r="I85" s="24"/>
      <c r="J85" s="18"/>
      <c r="K85" s="18"/>
      <c r="L85" s="18"/>
      <c r="M85" s="18"/>
      <c r="N85" s="18"/>
      <c r="O85" s="18"/>
      <c r="P85" s="18"/>
      <c r="Q85" s="18"/>
      <c r="R85" s="19">
        <f t="shared" si="11"/>
        <v>0</v>
      </c>
      <c r="S85" s="19"/>
      <c r="T85" s="19"/>
      <c r="U85" s="8">
        <v>0</v>
      </c>
      <c r="V85" s="9"/>
    </row>
    <row r="86" spans="1:23" ht="15" thickBot="1" x14ac:dyDescent="0.35">
      <c r="A86" s="29"/>
      <c r="B86" s="29" t="s">
        <v>77</v>
      </c>
      <c r="C86" s="14"/>
      <c r="D86" s="31">
        <v>5000</v>
      </c>
      <c r="E86" s="31"/>
      <c r="F86" s="31"/>
      <c r="G86" s="31"/>
      <c r="H86" s="31"/>
      <c r="I86" s="32"/>
      <c r="J86" s="31"/>
      <c r="K86" s="31"/>
      <c r="L86" s="31"/>
      <c r="M86" s="31"/>
      <c r="N86" s="31"/>
      <c r="O86" s="31"/>
      <c r="P86" s="31"/>
      <c r="Q86" s="31"/>
      <c r="R86" s="53">
        <f t="shared" si="11"/>
        <v>5000</v>
      </c>
      <c r="S86" s="53"/>
      <c r="T86" s="53"/>
      <c r="U86" s="48">
        <v>5000</v>
      </c>
      <c r="V86" s="71"/>
    </row>
    <row r="87" spans="1:23" x14ac:dyDescent="0.3">
      <c r="A87" s="29" t="s">
        <v>78</v>
      </c>
      <c r="B87" s="29"/>
      <c r="C87" s="14"/>
      <c r="D87" s="86">
        <f>D86</f>
        <v>5000</v>
      </c>
      <c r="E87" s="86">
        <f t="shared" ref="E87:Q87" si="58">E86</f>
        <v>0</v>
      </c>
      <c r="F87" s="86">
        <f t="shared" si="58"/>
        <v>0</v>
      </c>
      <c r="G87" s="86">
        <f t="shared" si="58"/>
        <v>0</v>
      </c>
      <c r="H87" s="86">
        <f t="shared" si="58"/>
        <v>0</v>
      </c>
      <c r="I87" s="86">
        <f t="shared" si="58"/>
        <v>0</v>
      </c>
      <c r="J87" s="86">
        <f t="shared" si="58"/>
        <v>0</v>
      </c>
      <c r="K87" s="86">
        <f t="shared" si="58"/>
        <v>0</v>
      </c>
      <c r="L87" s="86">
        <f t="shared" si="58"/>
        <v>0</v>
      </c>
      <c r="M87" s="86">
        <f t="shared" si="58"/>
        <v>0</v>
      </c>
      <c r="N87" s="86">
        <f t="shared" si="58"/>
        <v>0</v>
      </c>
      <c r="O87" s="86">
        <f t="shared" si="58"/>
        <v>0</v>
      </c>
      <c r="P87" s="86">
        <f t="shared" si="58"/>
        <v>0</v>
      </c>
      <c r="Q87" s="86">
        <f t="shared" si="58"/>
        <v>0</v>
      </c>
      <c r="R87" s="87">
        <f t="shared" si="11"/>
        <v>5000</v>
      </c>
      <c r="S87" s="19">
        <v>1426</v>
      </c>
      <c r="T87" s="19">
        <f>S87/9*12</f>
        <v>1901.3333333333335</v>
      </c>
      <c r="U87" s="8">
        <v>5000</v>
      </c>
      <c r="V87" s="68">
        <f>R87/U87-1</f>
        <v>0</v>
      </c>
    </row>
    <row r="88" spans="1:23" x14ac:dyDescent="0.3">
      <c r="A88" s="29" t="s">
        <v>79</v>
      </c>
      <c r="B88" s="29"/>
      <c r="C88" s="14"/>
      <c r="D88" s="18"/>
      <c r="E88" s="18"/>
      <c r="F88" s="18"/>
      <c r="G88" s="18"/>
      <c r="H88" s="18"/>
      <c r="I88" s="24"/>
      <c r="J88" s="18"/>
      <c r="K88" s="18"/>
      <c r="L88" s="18"/>
      <c r="M88" s="18"/>
      <c r="N88" s="18"/>
      <c r="O88" s="18"/>
      <c r="P88" s="18"/>
      <c r="Q88" s="18"/>
      <c r="R88" s="19">
        <f t="shared" ref="R88:R100" si="59">SUM(D88:Q88)</f>
        <v>0</v>
      </c>
      <c r="S88" s="19"/>
      <c r="T88" s="19"/>
      <c r="U88" s="8">
        <v>0</v>
      </c>
      <c r="V88" s="9"/>
    </row>
    <row r="89" spans="1:23" x14ac:dyDescent="0.3">
      <c r="A89" s="29"/>
      <c r="B89" s="29" t="s">
        <v>80</v>
      </c>
      <c r="C89" s="14"/>
      <c r="D89" s="18">
        <v>12500</v>
      </c>
      <c r="E89" s="18">
        <v>1000</v>
      </c>
      <c r="F89" s="18"/>
      <c r="G89" s="18"/>
      <c r="H89" s="18">
        <v>2500</v>
      </c>
      <c r="I89" s="24">
        <v>1500</v>
      </c>
      <c r="J89" s="18">
        <v>750</v>
      </c>
      <c r="K89" s="18">
        <v>1250</v>
      </c>
      <c r="L89" s="18"/>
      <c r="M89" s="18">
        <v>7500</v>
      </c>
      <c r="N89" s="18">
        <v>3500</v>
      </c>
      <c r="O89" s="18">
        <v>0</v>
      </c>
      <c r="P89" s="18"/>
      <c r="Q89" s="18"/>
      <c r="R89" s="19">
        <f t="shared" si="59"/>
        <v>30500</v>
      </c>
      <c r="S89" s="19"/>
      <c r="T89" s="19"/>
      <c r="U89" s="8">
        <v>16012</v>
      </c>
      <c r="V89" s="9"/>
      <c r="W89" t="s">
        <v>147</v>
      </c>
    </row>
    <row r="90" spans="1:23" x14ac:dyDescent="0.3">
      <c r="A90" s="29"/>
      <c r="B90" s="29" t="s">
        <v>81</v>
      </c>
      <c r="C90" s="14"/>
      <c r="D90" s="18">
        <v>1500</v>
      </c>
      <c r="E90" s="18">
        <v>500</v>
      </c>
      <c r="F90" s="18"/>
      <c r="G90" s="18"/>
      <c r="H90" s="18">
        <v>500</v>
      </c>
      <c r="I90" s="24">
        <v>1500</v>
      </c>
      <c r="J90" s="18">
        <v>150</v>
      </c>
      <c r="K90" s="18">
        <v>498</v>
      </c>
      <c r="L90" s="18"/>
      <c r="M90" s="18"/>
      <c r="N90" s="18">
        <v>1150</v>
      </c>
      <c r="O90" s="18"/>
      <c r="P90" s="18"/>
      <c r="Q90" s="18"/>
      <c r="R90" s="19">
        <f t="shared" si="59"/>
        <v>5798</v>
      </c>
      <c r="S90" s="19"/>
      <c r="T90" s="19"/>
      <c r="U90" s="8">
        <v>4260</v>
      </c>
      <c r="V90" s="9"/>
    </row>
    <row r="91" spans="1:23" ht="15" thickBot="1" x14ac:dyDescent="0.35">
      <c r="A91" s="29"/>
      <c r="B91" s="29" t="s">
        <v>82</v>
      </c>
      <c r="C91" s="14"/>
      <c r="D91" s="31"/>
      <c r="E91" s="31"/>
      <c r="F91" s="31"/>
      <c r="G91" s="31"/>
      <c r="H91" s="31"/>
      <c r="I91" s="32"/>
      <c r="J91" s="31"/>
      <c r="K91" s="31"/>
      <c r="L91" s="31"/>
      <c r="M91" s="31"/>
      <c r="N91" s="31"/>
      <c r="O91" s="31"/>
      <c r="P91" s="31"/>
      <c r="Q91" s="31"/>
      <c r="R91" s="53">
        <f t="shared" si="59"/>
        <v>0</v>
      </c>
      <c r="S91" s="53"/>
      <c r="T91" s="53"/>
      <c r="U91" s="48">
        <v>0</v>
      </c>
      <c r="V91" s="71"/>
    </row>
    <row r="92" spans="1:23" x14ac:dyDescent="0.3">
      <c r="A92" s="29" t="s">
        <v>83</v>
      </c>
      <c r="B92" s="29"/>
      <c r="C92" s="14"/>
      <c r="D92" s="86">
        <f t="shared" ref="D92:Q92" si="60">SUM(D89:D91)</f>
        <v>14000</v>
      </c>
      <c r="E92" s="86">
        <f t="shared" si="60"/>
        <v>1500</v>
      </c>
      <c r="F92" s="86">
        <f t="shared" si="60"/>
        <v>0</v>
      </c>
      <c r="G92" s="86">
        <f t="shared" si="60"/>
        <v>0</v>
      </c>
      <c r="H92" s="86">
        <f t="shared" si="60"/>
        <v>3000</v>
      </c>
      <c r="I92" s="86">
        <f t="shared" si="60"/>
        <v>3000</v>
      </c>
      <c r="J92" s="86">
        <f t="shared" si="60"/>
        <v>900</v>
      </c>
      <c r="K92" s="86">
        <f t="shared" si="60"/>
        <v>1748</v>
      </c>
      <c r="L92" s="86">
        <f t="shared" si="60"/>
        <v>0</v>
      </c>
      <c r="M92" s="86">
        <f t="shared" si="60"/>
        <v>7500</v>
      </c>
      <c r="N92" s="86">
        <f t="shared" si="60"/>
        <v>4650</v>
      </c>
      <c r="O92" s="86">
        <f t="shared" si="60"/>
        <v>0</v>
      </c>
      <c r="P92" s="86">
        <f t="shared" si="60"/>
        <v>0</v>
      </c>
      <c r="Q92" s="86">
        <f t="shared" si="60"/>
        <v>0</v>
      </c>
      <c r="R92" s="87">
        <f t="shared" si="59"/>
        <v>36298</v>
      </c>
      <c r="S92" s="19">
        <v>4095</v>
      </c>
      <c r="T92" s="19">
        <f>S92/9*12</f>
        <v>5460</v>
      </c>
      <c r="U92" s="8">
        <v>20272</v>
      </c>
      <c r="V92" s="68">
        <f>R92/U92-1</f>
        <v>0.79054853985793216</v>
      </c>
    </row>
    <row r="93" spans="1:23" x14ac:dyDescent="0.3">
      <c r="A93" s="29" t="s">
        <v>84</v>
      </c>
      <c r="B93" s="29"/>
      <c r="C93" s="14"/>
      <c r="D93" s="18"/>
      <c r="E93" s="18"/>
      <c r="F93" s="18"/>
      <c r="G93" s="18"/>
      <c r="H93" s="18"/>
      <c r="I93" s="24"/>
      <c r="J93" s="18"/>
      <c r="K93" s="18"/>
      <c r="L93" s="18"/>
      <c r="M93" s="18"/>
      <c r="N93" s="18"/>
      <c r="O93" s="18"/>
      <c r="P93" s="18"/>
      <c r="Q93" s="18"/>
      <c r="R93" s="19">
        <f t="shared" si="59"/>
        <v>0</v>
      </c>
      <c r="S93" s="19"/>
      <c r="T93" s="19"/>
      <c r="U93" s="8">
        <v>0</v>
      </c>
      <c r="V93" s="9"/>
    </row>
    <row r="94" spans="1:23" x14ac:dyDescent="0.3">
      <c r="A94" s="29"/>
      <c r="B94" s="29" t="s">
        <v>85</v>
      </c>
      <c r="C94" s="14"/>
      <c r="D94" s="24">
        <v>5000</v>
      </c>
      <c r="E94" s="24"/>
      <c r="F94" s="24"/>
      <c r="G94" s="24"/>
      <c r="H94" s="24">
        <v>1085</v>
      </c>
      <c r="I94" s="24"/>
      <c r="J94" s="24"/>
      <c r="K94" s="24"/>
      <c r="L94" s="24"/>
      <c r="M94" s="24"/>
      <c r="N94" s="24">
        <v>109</v>
      </c>
      <c r="O94" s="24">
        <v>0</v>
      </c>
      <c r="P94" s="24"/>
      <c r="Q94" s="18"/>
      <c r="R94" s="19">
        <f t="shared" si="59"/>
        <v>6194</v>
      </c>
      <c r="S94" s="19"/>
      <c r="T94" s="19"/>
      <c r="U94" s="8">
        <v>0</v>
      </c>
      <c r="V94" s="9"/>
    </row>
    <row r="95" spans="1:23" x14ac:dyDescent="0.3">
      <c r="A95" s="29"/>
      <c r="B95" s="29" t="s">
        <v>86</v>
      </c>
      <c r="C95" s="1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8"/>
      <c r="R95" s="19">
        <f t="shared" si="59"/>
        <v>0</v>
      </c>
      <c r="S95" s="19"/>
      <c r="T95" s="19"/>
      <c r="U95" s="8">
        <v>0</v>
      </c>
      <c r="V95" s="9"/>
    </row>
    <row r="96" spans="1:23" ht="15" thickBot="1" x14ac:dyDescent="0.35">
      <c r="A96" s="29"/>
      <c r="B96" s="29" t="s">
        <v>87</v>
      </c>
      <c r="C96" s="14"/>
      <c r="D96" s="32">
        <v>3500</v>
      </c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1"/>
      <c r="R96" s="53">
        <f t="shared" si="59"/>
        <v>3500</v>
      </c>
      <c r="S96" s="53"/>
      <c r="T96" s="53"/>
      <c r="U96" s="48">
        <v>3500</v>
      </c>
      <c r="V96" s="71"/>
    </row>
    <row r="97" spans="1:22" x14ac:dyDescent="0.3">
      <c r="A97" s="29" t="s">
        <v>88</v>
      </c>
      <c r="B97" s="29"/>
      <c r="C97" s="14"/>
      <c r="D97" s="86">
        <f>SUM(D94:D96)</f>
        <v>8500</v>
      </c>
      <c r="E97" s="86">
        <f t="shared" ref="E97:Q97" si="61">SUM(E94:E96)</f>
        <v>0</v>
      </c>
      <c r="F97" s="86">
        <f t="shared" si="61"/>
        <v>0</v>
      </c>
      <c r="G97" s="86">
        <f t="shared" si="61"/>
        <v>0</v>
      </c>
      <c r="H97" s="86">
        <f t="shared" si="61"/>
        <v>1085</v>
      </c>
      <c r="I97" s="86">
        <f t="shared" si="61"/>
        <v>0</v>
      </c>
      <c r="J97" s="86">
        <f t="shared" si="61"/>
        <v>0</v>
      </c>
      <c r="K97" s="86">
        <f t="shared" si="61"/>
        <v>0</v>
      </c>
      <c r="L97" s="86">
        <f t="shared" si="61"/>
        <v>0</v>
      </c>
      <c r="M97" s="86">
        <f t="shared" si="61"/>
        <v>0</v>
      </c>
      <c r="N97" s="86">
        <f t="shared" si="61"/>
        <v>109</v>
      </c>
      <c r="O97" s="86">
        <f t="shared" si="61"/>
        <v>0</v>
      </c>
      <c r="P97" s="86">
        <f t="shared" si="61"/>
        <v>0</v>
      </c>
      <c r="Q97" s="86">
        <f t="shared" si="61"/>
        <v>0</v>
      </c>
      <c r="R97" s="87">
        <f t="shared" si="59"/>
        <v>9694</v>
      </c>
      <c r="S97" s="19">
        <v>4235</v>
      </c>
      <c r="T97" s="19">
        <f>S97/9*12</f>
        <v>5646.6666666666661</v>
      </c>
      <c r="U97" s="8">
        <v>3500</v>
      </c>
      <c r="V97" s="68">
        <f>R97/U97-1</f>
        <v>1.7697142857142856</v>
      </c>
    </row>
    <row r="98" spans="1:22" ht="15" thickBot="1" x14ac:dyDescent="0.35">
      <c r="A98" s="29" t="s">
        <v>90</v>
      </c>
      <c r="B98" s="29"/>
      <c r="C98" s="14"/>
      <c r="D98" s="25"/>
      <c r="E98" s="25"/>
      <c r="F98" s="25"/>
      <c r="G98" s="25"/>
      <c r="H98" s="25"/>
      <c r="I98" s="26"/>
      <c r="J98" s="25"/>
      <c r="K98" s="25"/>
      <c r="L98" s="25"/>
      <c r="M98" s="25"/>
      <c r="N98" s="25"/>
      <c r="O98" s="25"/>
      <c r="P98" s="25"/>
      <c r="Q98" s="25"/>
      <c r="R98" s="53">
        <f t="shared" si="59"/>
        <v>0</v>
      </c>
      <c r="S98" s="27"/>
      <c r="T98" s="27"/>
      <c r="U98" s="47">
        <v>0</v>
      </c>
      <c r="V98" s="71"/>
    </row>
    <row r="99" spans="1:22" ht="15" thickBot="1" x14ac:dyDescent="0.35">
      <c r="A99" s="229" t="s">
        <v>91</v>
      </c>
      <c r="B99" s="229"/>
      <c r="C99" s="29"/>
      <c r="D99" s="88">
        <f t="shared" ref="D99:Q99" si="62">D97+D92+D87+D83+D79+D74+D66+D65+D62+D59+D54+D50+D44</f>
        <v>434702.38625000004</v>
      </c>
      <c r="E99" s="88">
        <f t="shared" si="62"/>
        <v>71930.55750000001</v>
      </c>
      <c r="F99" s="88">
        <f t="shared" si="62"/>
        <v>148157.34692499996</v>
      </c>
      <c r="G99" s="88">
        <f t="shared" si="62"/>
        <v>18369.0625</v>
      </c>
      <c r="H99" s="88">
        <f t="shared" si="62"/>
        <v>133914.643125</v>
      </c>
      <c r="I99" s="88">
        <f t="shared" si="62"/>
        <v>334510.46562500001</v>
      </c>
      <c r="J99" s="88">
        <f t="shared" si="62"/>
        <v>30689.178124999999</v>
      </c>
      <c r="K99" s="88">
        <f t="shared" si="62"/>
        <v>64349.880825</v>
      </c>
      <c r="L99" s="88">
        <f t="shared" si="62"/>
        <v>141959.61562500001</v>
      </c>
      <c r="M99" s="88">
        <f t="shared" si="62"/>
        <v>89826.425749999995</v>
      </c>
      <c r="N99" s="88">
        <f t="shared" si="62"/>
        <v>101986.99374999999</v>
      </c>
      <c r="O99" s="88">
        <f t="shared" si="62"/>
        <v>36858.75</v>
      </c>
      <c r="P99" s="88">
        <f t="shared" si="62"/>
        <v>116571.19375000001</v>
      </c>
      <c r="Q99" s="88">
        <f t="shared" si="62"/>
        <v>36305.831250000003</v>
      </c>
      <c r="R99" s="89">
        <f t="shared" si="59"/>
        <v>1760132.331</v>
      </c>
      <c r="S99" s="33">
        <f>SUM(S65:S97)+S62+S59+S54+S50+S44</f>
        <v>1188497</v>
      </c>
      <c r="T99" s="33">
        <f>SUM(T65:T97)+T62+T59+T54+T50+T44</f>
        <v>1469992</v>
      </c>
      <c r="U99" s="49">
        <v>1605997.1170312499</v>
      </c>
      <c r="V99" s="73">
        <f>R99/U99-1</f>
        <v>9.5974776252198524E-2</v>
      </c>
    </row>
    <row r="100" spans="1:22" ht="15" thickBot="1" x14ac:dyDescent="0.35">
      <c r="A100" s="29" t="s">
        <v>133</v>
      </c>
      <c r="B100" s="14"/>
      <c r="C100" s="14"/>
      <c r="D100" s="79">
        <f t="shared" ref="D100:Q100" si="63">D33-D99</f>
        <v>-13624.38625000004</v>
      </c>
      <c r="E100" s="79">
        <f t="shared" si="63"/>
        <v>-71930.55750000001</v>
      </c>
      <c r="F100" s="79">
        <f t="shared" si="63"/>
        <v>-42657.346924999962</v>
      </c>
      <c r="G100" s="79">
        <f t="shared" si="63"/>
        <v>-16869.0625</v>
      </c>
      <c r="H100" s="79">
        <f t="shared" si="63"/>
        <v>16085.356874999998</v>
      </c>
      <c r="I100" s="79">
        <f t="shared" si="63"/>
        <v>30489.534374999988</v>
      </c>
      <c r="J100" s="79">
        <f t="shared" si="63"/>
        <v>-1089.1781249999985</v>
      </c>
      <c r="K100" s="79">
        <f t="shared" si="63"/>
        <v>7150.1191749999998</v>
      </c>
      <c r="L100" s="79">
        <f t="shared" si="63"/>
        <v>15540.384374999994</v>
      </c>
      <c r="M100" s="79">
        <f t="shared" si="63"/>
        <v>-28266.425749999995</v>
      </c>
      <c r="N100" s="79">
        <f t="shared" si="63"/>
        <v>11403.006250000006</v>
      </c>
      <c r="O100" s="79">
        <f t="shared" si="63"/>
        <v>-11858.75</v>
      </c>
      <c r="P100" s="79">
        <f t="shared" si="63"/>
        <v>8428.8062499999942</v>
      </c>
      <c r="Q100" s="79">
        <f t="shared" si="63"/>
        <v>24694.168749999997</v>
      </c>
      <c r="R100" s="91">
        <f t="shared" si="59"/>
        <v>-72504.33100000002</v>
      </c>
      <c r="S100" s="34">
        <f>S33-S99</f>
        <v>540539</v>
      </c>
      <c r="T100" s="34">
        <f>T33-T99</f>
        <v>542913.33333333326</v>
      </c>
      <c r="U100" s="50">
        <v>18810.882968750084</v>
      </c>
      <c r="V100" s="69">
        <f>R100/U100-1</f>
        <v>-4.8543821212672018</v>
      </c>
    </row>
    <row r="101" spans="1:22" x14ac:dyDescent="0.3">
      <c r="A101" s="29" t="s">
        <v>124</v>
      </c>
      <c r="D101" s="3"/>
      <c r="E101" s="3"/>
      <c r="F101" s="3"/>
      <c r="G101" s="3"/>
      <c r="H101" s="83">
        <f t="shared" ref="H101:Q101" si="64">H100/H33</f>
        <v>0.10723571249999998</v>
      </c>
      <c r="I101" s="83">
        <f t="shared" si="64"/>
        <v>8.3532970890410924E-2</v>
      </c>
      <c r="J101" s="84">
        <f t="shared" si="64"/>
        <v>-3.6796558277026978E-2</v>
      </c>
      <c r="K101" s="83">
        <f t="shared" si="64"/>
        <v>0.10000166678321679</v>
      </c>
      <c r="L101" s="83">
        <f t="shared" si="64"/>
        <v>9.8669107142857107E-2</v>
      </c>
      <c r="M101" s="83">
        <f t="shared" si="64"/>
        <v>-0.45916870938921367</v>
      </c>
      <c r="N101" s="83">
        <f t="shared" si="64"/>
        <v>0.1005644787900168</v>
      </c>
      <c r="O101" s="83">
        <f t="shared" si="64"/>
        <v>-0.47434999999999999</v>
      </c>
      <c r="P101" s="83">
        <f t="shared" si="64"/>
        <v>6.7430449999999947E-2</v>
      </c>
      <c r="Q101" s="83">
        <f t="shared" si="64"/>
        <v>0.4048224385245901</v>
      </c>
      <c r="R101" s="3"/>
      <c r="S101" s="3">
        <f>S100-520000</f>
        <v>20539</v>
      </c>
      <c r="T101" s="3">
        <f>T100-520000</f>
        <v>22913.333333333256</v>
      </c>
      <c r="U101" s="6"/>
    </row>
    <row r="102" spans="1:22" ht="15.6" x14ac:dyDescent="0.3">
      <c r="A102" s="224"/>
      <c r="B102" s="224"/>
      <c r="C102" s="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5"/>
    </row>
    <row r="103" spans="1:22" x14ac:dyDescent="0.3">
      <c r="A103" s="29" t="s">
        <v>132</v>
      </c>
      <c r="D103" s="6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66"/>
      <c r="S103" s="3"/>
      <c r="T103" s="3"/>
    </row>
    <row r="104" spans="1:22" x14ac:dyDescent="0.3"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78"/>
      <c r="S104" s="3"/>
      <c r="T104" s="3"/>
    </row>
    <row r="105" spans="1:22" x14ac:dyDescent="0.3">
      <c r="A105" s="29" t="s">
        <v>107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66"/>
      <c r="S105" s="3"/>
      <c r="T105" s="3"/>
    </row>
  </sheetData>
  <mergeCells count="5">
    <mergeCell ref="A102:B102"/>
    <mergeCell ref="U1:U2"/>
    <mergeCell ref="R1:R2"/>
    <mergeCell ref="A99:B99"/>
    <mergeCell ref="V1:V2"/>
  </mergeCells>
  <pageMargins left="0.7" right="0.7" top="0.75" bottom="0.75" header="0.3" footer="0.3"/>
  <pageSetup scale="68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ED81-6BFE-461F-A61C-249C321297B2}">
  <sheetPr>
    <tabColor theme="9" tint="0.39997558519241921"/>
    <pageSetUpPr fitToPage="1"/>
  </sheetPr>
  <dimension ref="A1:W106"/>
  <sheetViews>
    <sheetView topLeftCell="A80" workbookViewId="0">
      <selection activeCell="C110" sqref="C110"/>
    </sheetView>
  </sheetViews>
  <sheetFormatPr defaultRowHeight="14.4" x14ac:dyDescent="0.3"/>
  <cols>
    <col min="1" max="1" width="12.88671875" customWidth="1"/>
    <col min="2" max="2" width="29" customWidth="1"/>
    <col min="3" max="3" width="13" customWidth="1"/>
    <col min="4" max="4" width="30.88671875" customWidth="1"/>
    <col min="5" max="5" width="30.33203125" customWidth="1"/>
    <col min="6" max="7" width="27.109375" customWidth="1"/>
    <col min="8" max="8" width="27.88671875" customWidth="1"/>
    <col min="9" max="9" width="26.33203125" customWidth="1"/>
    <col min="10" max="10" width="30.33203125" customWidth="1"/>
    <col min="11" max="11" width="28.44140625" customWidth="1"/>
    <col min="12" max="12" width="27.44140625" customWidth="1"/>
    <col min="13" max="13" width="25.5546875" customWidth="1"/>
    <col min="14" max="14" width="23.5546875" customWidth="1"/>
    <col min="15" max="16" width="22.33203125" customWidth="1"/>
    <col min="17" max="17" width="25.33203125" customWidth="1"/>
    <col min="18" max="18" width="27.5546875" customWidth="1"/>
    <col min="19" max="19" width="19.88671875" hidden="1" customWidth="1"/>
    <col min="20" max="20" width="19.88671875" customWidth="1"/>
    <col min="21" max="21" width="14.6640625" hidden="1" customWidth="1"/>
    <col min="22" max="22" width="10.109375" customWidth="1"/>
    <col min="23" max="23" width="65.44140625" customWidth="1"/>
  </cols>
  <sheetData>
    <row r="1" spans="1:23" ht="18" x14ac:dyDescent="0.35">
      <c r="A1" s="75" t="s">
        <v>125</v>
      </c>
      <c r="B1" s="14"/>
      <c r="C1" s="14"/>
      <c r="D1" s="38"/>
      <c r="E1" s="57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27" t="s">
        <v>120</v>
      </c>
      <c r="S1" s="35"/>
      <c r="T1" s="35"/>
      <c r="U1" s="225" t="s">
        <v>121</v>
      </c>
      <c r="V1" s="230" t="s">
        <v>135</v>
      </c>
    </row>
    <row r="2" spans="1:23" ht="28.2" thickBot="1" x14ac:dyDescent="0.35">
      <c r="A2" s="14"/>
      <c r="D2" s="15" t="s">
        <v>119</v>
      </c>
      <c r="E2" s="37" t="s">
        <v>118</v>
      </c>
      <c r="F2" s="15" t="s">
        <v>116</v>
      </c>
      <c r="G2" s="36" t="s">
        <v>117</v>
      </c>
      <c r="H2" s="15" t="s">
        <v>0</v>
      </c>
      <c r="I2" s="15" t="s">
        <v>1</v>
      </c>
      <c r="J2" s="15" t="s">
        <v>113</v>
      </c>
      <c r="K2" s="15" t="s">
        <v>3</v>
      </c>
      <c r="L2" s="15" t="s">
        <v>4</v>
      </c>
      <c r="M2" s="15" t="s">
        <v>5</v>
      </c>
      <c r="N2" s="15" t="s">
        <v>6</v>
      </c>
      <c r="O2" s="15" t="s">
        <v>114</v>
      </c>
      <c r="P2" s="15" t="s">
        <v>115</v>
      </c>
      <c r="Q2" s="15" t="s">
        <v>7</v>
      </c>
      <c r="R2" s="228"/>
      <c r="S2" s="56" t="s">
        <v>122</v>
      </c>
      <c r="T2" s="56" t="s">
        <v>123</v>
      </c>
      <c r="U2" s="226"/>
      <c r="V2" s="231"/>
    </row>
    <row r="3" spans="1:23" ht="15.6" x14ac:dyDescent="0.3">
      <c r="A3" s="14" t="s">
        <v>8</v>
      </c>
      <c r="B3" s="14" t="s">
        <v>109</v>
      </c>
      <c r="C3" s="1" t="s">
        <v>110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6"/>
      <c r="S3" s="16"/>
      <c r="T3" s="16"/>
      <c r="U3" s="7"/>
      <c r="V3" s="9"/>
    </row>
    <row r="4" spans="1:23" x14ac:dyDescent="0.3">
      <c r="A4" s="14" t="s">
        <v>9</v>
      </c>
      <c r="B4" s="17">
        <v>159960</v>
      </c>
      <c r="C4" s="44">
        <v>164500</v>
      </c>
      <c r="D4" s="18">
        <f>0.3*C4</f>
        <v>49350</v>
      </c>
      <c r="E4" s="18"/>
      <c r="F4" s="18"/>
      <c r="G4" s="18"/>
      <c r="H4" s="18">
        <f>0.075*C4</f>
        <v>12337.5</v>
      </c>
      <c r="I4" s="18">
        <f>0.275*C4</f>
        <v>45237.500000000007</v>
      </c>
      <c r="J4" s="18"/>
      <c r="K4" s="18"/>
      <c r="L4" s="18"/>
      <c r="M4" s="18"/>
      <c r="N4" s="18">
        <f>0.1*C4</f>
        <v>16450</v>
      </c>
      <c r="O4" s="18"/>
      <c r="P4" s="18">
        <f>0.1*C4</f>
        <v>16450</v>
      </c>
      <c r="Q4" s="18">
        <f>0.15*C4</f>
        <v>24675</v>
      </c>
      <c r="R4" s="19">
        <f t="shared" ref="R4:R12" si="0">SUM(D4:Q4)</f>
        <v>164500</v>
      </c>
      <c r="S4" s="19"/>
      <c r="T4" s="19"/>
      <c r="U4" s="8"/>
      <c r="V4" s="9"/>
      <c r="W4" s="77"/>
    </row>
    <row r="5" spans="1:23" x14ac:dyDescent="0.3">
      <c r="A5" s="14" t="s">
        <v>10</v>
      </c>
      <c r="B5" s="17">
        <v>69187.5</v>
      </c>
      <c r="C5" s="44">
        <v>75000</v>
      </c>
      <c r="D5" s="18"/>
      <c r="E5" s="18"/>
      <c r="F5" s="18">
        <f>0.6*C5</f>
        <v>45000</v>
      </c>
      <c r="G5" s="18"/>
      <c r="H5" s="18">
        <f>0.1*C5</f>
        <v>7500</v>
      </c>
      <c r="I5" s="18"/>
      <c r="J5" s="18"/>
      <c r="K5" s="18">
        <f>0.3*C5</f>
        <v>22500</v>
      </c>
      <c r="L5" s="18"/>
      <c r="M5" s="18"/>
      <c r="N5" s="18"/>
      <c r="O5" s="18"/>
      <c r="P5" s="18"/>
      <c r="Q5" s="18"/>
      <c r="R5" s="19">
        <f t="shared" si="0"/>
        <v>75000</v>
      </c>
      <c r="S5" s="19"/>
      <c r="T5" s="19"/>
      <c r="U5" s="8"/>
      <c r="V5" s="9"/>
      <c r="W5" s="77"/>
    </row>
    <row r="6" spans="1:23" x14ac:dyDescent="0.3">
      <c r="A6" s="14" t="s">
        <v>111</v>
      </c>
      <c r="B6" s="17">
        <v>62000</v>
      </c>
      <c r="C6" s="44">
        <f>(1+(2/12*0.027))*B6</f>
        <v>62279</v>
      </c>
      <c r="D6" s="18"/>
      <c r="E6" s="18"/>
      <c r="F6" s="18">
        <f>0.7*C6</f>
        <v>43595.299999999996</v>
      </c>
      <c r="G6" s="18"/>
      <c r="H6" s="18"/>
      <c r="I6" s="18"/>
      <c r="J6" s="18"/>
      <c r="K6" s="18">
        <f>0.3*C6</f>
        <v>18683.7</v>
      </c>
      <c r="L6" s="18"/>
      <c r="M6" s="18"/>
      <c r="N6" s="18"/>
      <c r="O6" s="18"/>
      <c r="P6" s="18"/>
      <c r="Q6" s="18"/>
      <c r="R6" s="19">
        <f t="shared" si="0"/>
        <v>62279</v>
      </c>
      <c r="S6" s="19"/>
      <c r="T6" s="19"/>
      <c r="U6" s="8"/>
      <c r="V6" s="9"/>
      <c r="W6" s="77"/>
    </row>
    <row r="7" spans="1:23" x14ac:dyDescent="0.3">
      <c r="A7" s="14" t="s">
        <v>11</v>
      </c>
      <c r="B7" s="17">
        <v>72500</v>
      </c>
      <c r="C7" s="44">
        <v>75000</v>
      </c>
      <c r="D7" s="18">
        <v>0</v>
      </c>
      <c r="E7" s="18"/>
      <c r="F7" s="18"/>
      <c r="G7" s="18">
        <f>0.15*C7</f>
        <v>11250</v>
      </c>
      <c r="H7" s="18"/>
      <c r="I7" s="18">
        <f>0.35*C7</f>
        <v>26250</v>
      </c>
      <c r="J7" s="18">
        <f>0.15*C7</f>
        <v>11250</v>
      </c>
      <c r="K7" s="18"/>
      <c r="L7" s="18"/>
      <c r="M7" s="18"/>
      <c r="N7" s="18">
        <f>0.05*C7</f>
        <v>3750</v>
      </c>
      <c r="O7" s="18">
        <f>0.2*C7</f>
        <v>15000</v>
      </c>
      <c r="P7" s="18">
        <f>0.05*C7</f>
        <v>3750</v>
      </c>
      <c r="Q7" s="18">
        <f>0.05*C7</f>
        <v>3750</v>
      </c>
      <c r="R7" s="19">
        <f t="shared" si="0"/>
        <v>75000</v>
      </c>
      <c r="S7" s="19"/>
      <c r="T7" s="19"/>
      <c r="U7" s="8"/>
      <c r="V7" s="9"/>
      <c r="W7" s="77"/>
    </row>
    <row r="8" spans="1:23" x14ac:dyDescent="0.3">
      <c r="A8" s="14" t="s">
        <v>12</v>
      </c>
      <c r="B8" s="17">
        <v>61000</v>
      </c>
      <c r="C8" s="44">
        <v>61500</v>
      </c>
      <c r="D8" s="18"/>
      <c r="E8" s="18"/>
      <c r="F8" s="18"/>
      <c r="G8" s="18"/>
      <c r="H8" s="18">
        <f>0.95*C8*0.833</f>
        <v>48668.025000000001</v>
      </c>
      <c r="I8" s="18"/>
      <c r="J8" s="18"/>
      <c r="K8" s="18"/>
      <c r="L8" s="18"/>
      <c r="M8" s="18"/>
      <c r="N8" s="18">
        <f>0.05*C8*0.83</f>
        <v>2552.25</v>
      </c>
      <c r="O8" s="18"/>
      <c r="P8" s="18"/>
      <c r="Q8" s="18"/>
      <c r="R8" s="19">
        <f t="shared" si="0"/>
        <v>51220.275000000001</v>
      </c>
      <c r="S8" s="19"/>
      <c r="T8" s="19"/>
      <c r="U8" s="8"/>
      <c r="V8" s="9"/>
      <c r="W8" s="77"/>
    </row>
    <row r="9" spans="1:23" x14ac:dyDescent="0.3">
      <c r="A9" s="14" t="s">
        <v>94</v>
      </c>
      <c r="B9" s="17">
        <v>61500</v>
      </c>
      <c r="C9" s="44">
        <v>63500</v>
      </c>
      <c r="D9" s="18">
        <f>0.85*C9</f>
        <v>53975</v>
      </c>
      <c r="E9" s="18"/>
      <c r="F9" s="18"/>
      <c r="G9" s="18"/>
      <c r="H9" s="18"/>
      <c r="I9" s="18">
        <f>0.15*C9</f>
        <v>9525</v>
      </c>
      <c r="J9" s="18"/>
      <c r="K9" s="18"/>
      <c r="L9" s="18"/>
      <c r="M9" s="18"/>
      <c r="N9" s="18"/>
      <c r="O9" s="18"/>
      <c r="P9" s="18"/>
      <c r="Q9" s="18"/>
      <c r="R9" s="19">
        <f t="shared" si="0"/>
        <v>63500</v>
      </c>
      <c r="S9" s="19"/>
      <c r="T9" s="19"/>
      <c r="U9" s="8"/>
      <c r="V9" s="9"/>
      <c r="W9" s="77"/>
    </row>
    <row r="10" spans="1:23" x14ac:dyDescent="0.3">
      <c r="A10" s="14" t="s">
        <v>13</v>
      </c>
      <c r="B10" s="17">
        <v>66100.125</v>
      </c>
      <c r="C10" s="44">
        <v>69000</v>
      </c>
      <c r="D10" s="18"/>
      <c r="E10" s="18">
        <f>0.55*C10</f>
        <v>37950</v>
      </c>
      <c r="F10" s="18"/>
      <c r="G10" s="18"/>
      <c r="H10" s="18">
        <f>0.1*C10</f>
        <v>6900</v>
      </c>
      <c r="I10" s="18">
        <f>0.3*C10</f>
        <v>20700</v>
      </c>
      <c r="J10" s="18"/>
      <c r="K10" s="18"/>
      <c r="L10" s="18"/>
      <c r="M10" s="18"/>
      <c r="N10" s="18"/>
      <c r="O10" s="18"/>
      <c r="P10" s="18">
        <f>0.05*C10</f>
        <v>3450</v>
      </c>
      <c r="Q10" s="18"/>
      <c r="R10" s="19">
        <f t="shared" si="0"/>
        <v>69000</v>
      </c>
      <c r="S10" s="19"/>
      <c r="T10" s="19"/>
      <c r="U10" s="8"/>
      <c r="V10" s="9"/>
      <c r="W10" s="77"/>
    </row>
    <row r="11" spans="1:23" x14ac:dyDescent="0.3">
      <c r="A11" s="14" t="s">
        <v>93</v>
      </c>
      <c r="B11" s="17">
        <v>61100</v>
      </c>
      <c r="C11" s="44">
        <v>62750</v>
      </c>
      <c r="D11" s="18"/>
      <c r="E11" s="18"/>
      <c r="F11" s="18"/>
      <c r="G11" s="18"/>
      <c r="H11" s="18"/>
      <c r="I11" s="18">
        <f>0.4*C11</f>
        <v>25100</v>
      </c>
      <c r="J11" s="18">
        <f>0.15*C11</f>
        <v>9412.5</v>
      </c>
      <c r="L11" s="18">
        <f>0.15*C11</f>
        <v>9412.5</v>
      </c>
      <c r="M11" s="18"/>
      <c r="N11" s="18"/>
      <c r="O11" s="18"/>
      <c r="P11" s="18">
        <f>0.3*C11</f>
        <v>18825</v>
      </c>
      <c r="Q11" s="18"/>
      <c r="R11" s="19">
        <f t="shared" si="0"/>
        <v>62750</v>
      </c>
      <c r="S11" s="19"/>
      <c r="T11" s="19"/>
      <c r="U11" s="8"/>
      <c r="V11" s="9"/>
      <c r="W11" s="77"/>
    </row>
    <row r="12" spans="1:23" x14ac:dyDescent="0.3">
      <c r="A12" s="14" t="s">
        <v>112</v>
      </c>
      <c r="B12" s="17">
        <v>52000</v>
      </c>
      <c r="C12" s="45">
        <f>0.6*B12</f>
        <v>31200</v>
      </c>
      <c r="D12" s="20"/>
      <c r="E12" s="20"/>
      <c r="F12" s="20"/>
      <c r="G12" s="20"/>
      <c r="H12" s="20"/>
      <c r="I12" s="20"/>
      <c r="J12" s="20"/>
      <c r="K12" s="20"/>
      <c r="L12" s="20"/>
      <c r="M12" s="20">
        <f>C12</f>
        <v>31200</v>
      </c>
      <c r="N12" s="20"/>
      <c r="O12" s="20"/>
      <c r="P12" s="20"/>
      <c r="Q12" s="20"/>
      <c r="R12" s="21">
        <f t="shared" si="0"/>
        <v>31200</v>
      </c>
      <c r="S12" s="41"/>
      <c r="T12" s="51"/>
      <c r="U12" s="9"/>
      <c r="V12" s="9"/>
      <c r="W12" s="77"/>
    </row>
    <row r="13" spans="1:23" x14ac:dyDescent="0.3">
      <c r="A13" s="14" t="s">
        <v>14</v>
      </c>
      <c r="B13" s="14"/>
      <c r="C13" s="17">
        <f>SUM(C4:C12)</f>
        <v>664729</v>
      </c>
      <c r="D13" s="18">
        <f>SUM(D4:D12)</f>
        <v>103325</v>
      </c>
      <c r="E13" s="18">
        <f t="shared" ref="E13:Q13" si="1">SUM(E4:E12)</f>
        <v>37950</v>
      </c>
      <c r="F13" s="18">
        <f t="shared" si="1"/>
        <v>88595.299999999988</v>
      </c>
      <c r="G13" s="18">
        <f t="shared" si="1"/>
        <v>11250</v>
      </c>
      <c r="H13" s="18">
        <f t="shared" si="1"/>
        <v>75405.524999999994</v>
      </c>
      <c r="I13" s="18">
        <f t="shared" si="1"/>
        <v>126812.5</v>
      </c>
      <c r="J13" s="18">
        <f t="shared" si="1"/>
        <v>20662.5</v>
      </c>
      <c r="K13" s="18">
        <f t="shared" si="1"/>
        <v>41183.699999999997</v>
      </c>
      <c r="L13" s="18">
        <f t="shared" si="1"/>
        <v>9412.5</v>
      </c>
      <c r="M13" s="18">
        <f t="shared" si="1"/>
        <v>31200</v>
      </c>
      <c r="N13" s="18">
        <f t="shared" si="1"/>
        <v>22752.25</v>
      </c>
      <c r="O13" s="18">
        <f t="shared" si="1"/>
        <v>15000</v>
      </c>
      <c r="P13" s="18">
        <f t="shared" si="1"/>
        <v>42475</v>
      </c>
      <c r="Q13" s="18">
        <f t="shared" si="1"/>
        <v>28425</v>
      </c>
      <c r="R13" s="19">
        <f>SUM(R4:R12)</f>
        <v>654449.27500000002</v>
      </c>
      <c r="S13" s="19"/>
      <c r="T13" s="19"/>
      <c r="U13" s="9"/>
      <c r="V13" s="9"/>
    </row>
    <row r="14" spans="1:23" x14ac:dyDescent="0.3">
      <c r="A14" s="14" t="s">
        <v>15</v>
      </c>
      <c r="B14" s="14"/>
      <c r="C14" s="43">
        <f>SUM(D14:I14)</f>
        <v>25200</v>
      </c>
      <c r="D14" s="20"/>
      <c r="E14" s="20">
        <f>20*20*38</f>
        <v>15200</v>
      </c>
      <c r="F14" s="20">
        <f>10*20*20</f>
        <v>4000</v>
      </c>
      <c r="G14" s="20"/>
      <c r="H14" s="20">
        <f>10*20*10</f>
        <v>2000</v>
      </c>
      <c r="I14" s="20">
        <f>10*20*20</f>
        <v>4000</v>
      </c>
      <c r="J14" s="20"/>
      <c r="K14" s="20"/>
      <c r="L14" s="20"/>
      <c r="M14" s="20"/>
      <c r="N14" s="20"/>
      <c r="O14" s="20"/>
      <c r="P14" s="20"/>
      <c r="Q14" s="20"/>
      <c r="R14" s="21">
        <f>SUM(D14:Q14)</f>
        <v>25200</v>
      </c>
      <c r="S14" s="21"/>
      <c r="T14" s="21"/>
      <c r="U14" s="40"/>
      <c r="V14" s="9"/>
    </row>
    <row r="15" spans="1:23" x14ac:dyDescent="0.3">
      <c r="A15" s="14"/>
      <c r="B15" s="14"/>
      <c r="C15" s="17">
        <f>C14+C13</f>
        <v>689929</v>
      </c>
      <c r="D15" s="18">
        <f t="shared" ref="D15:Q15" si="2">D14+D13</f>
        <v>103325</v>
      </c>
      <c r="E15" s="18">
        <f t="shared" si="2"/>
        <v>53150</v>
      </c>
      <c r="F15" s="18">
        <f t="shared" si="2"/>
        <v>92595.299999999988</v>
      </c>
      <c r="G15" s="18">
        <f t="shared" si="2"/>
        <v>11250</v>
      </c>
      <c r="H15" s="18">
        <f t="shared" si="2"/>
        <v>77405.524999999994</v>
      </c>
      <c r="I15" s="18">
        <f t="shared" si="2"/>
        <v>130812.5</v>
      </c>
      <c r="J15" s="18">
        <f t="shared" si="2"/>
        <v>20662.5</v>
      </c>
      <c r="K15" s="18">
        <f t="shared" si="2"/>
        <v>41183.699999999997</v>
      </c>
      <c r="L15" s="18">
        <f t="shared" si="2"/>
        <v>9412.5</v>
      </c>
      <c r="M15" s="18">
        <f t="shared" si="2"/>
        <v>31200</v>
      </c>
      <c r="N15" s="18">
        <f t="shared" si="2"/>
        <v>22752.25</v>
      </c>
      <c r="O15" s="18">
        <f t="shared" si="2"/>
        <v>15000</v>
      </c>
      <c r="P15" s="18">
        <f t="shared" si="2"/>
        <v>42475</v>
      </c>
      <c r="Q15" s="18">
        <f t="shared" si="2"/>
        <v>28425</v>
      </c>
      <c r="R15" s="19">
        <f>R14+R13</f>
        <v>679649.27500000002</v>
      </c>
      <c r="S15" s="19"/>
      <c r="T15" s="19"/>
      <c r="U15" s="39">
        <v>711735.125</v>
      </c>
      <c r="V15" s="9"/>
    </row>
    <row r="16" spans="1:23" x14ac:dyDescent="0.3">
      <c r="A16" s="14"/>
      <c r="B16" s="14"/>
      <c r="C16" s="14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9"/>
      <c r="S16" s="19"/>
      <c r="T16" s="19"/>
      <c r="U16" s="39"/>
      <c r="V16" s="9"/>
    </row>
    <row r="17" spans="1:23" x14ac:dyDescent="0.3">
      <c r="A17" s="14" t="s">
        <v>16</v>
      </c>
      <c r="B17" s="14"/>
      <c r="C17" s="18">
        <f t="shared" ref="C17" si="3">0.16245*C13</f>
        <v>107985.22605000001</v>
      </c>
      <c r="D17" s="18">
        <f>0.16245*D13</f>
        <v>16785.146250000002</v>
      </c>
      <c r="E17" s="18">
        <f t="shared" ref="E17:Q17" si="4">0.16245*E13</f>
        <v>6164.9775000000009</v>
      </c>
      <c r="F17" s="18">
        <f t="shared" si="4"/>
        <v>14392.306484999999</v>
      </c>
      <c r="G17" s="18">
        <f t="shared" si="4"/>
        <v>1827.5625000000002</v>
      </c>
      <c r="H17" s="18">
        <f t="shared" si="4"/>
        <v>12249.62753625</v>
      </c>
      <c r="I17" s="18">
        <f t="shared" si="4"/>
        <v>20600.690625000003</v>
      </c>
      <c r="J17" s="18">
        <f t="shared" si="4"/>
        <v>3356.6231250000001</v>
      </c>
      <c r="K17" s="18">
        <f t="shared" si="4"/>
        <v>6690.2920649999996</v>
      </c>
      <c r="L17" s="18">
        <f t="shared" si="4"/>
        <v>1529.0606250000001</v>
      </c>
      <c r="M17" s="18">
        <f t="shared" si="4"/>
        <v>5068.4400000000005</v>
      </c>
      <c r="N17" s="18">
        <f t="shared" si="4"/>
        <v>3696.1030125000002</v>
      </c>
      <c r="O17" s="18">
        <f t="shared" si="4"/>
        <v>2436.75</v>
      </c>
      <c r="P17" s="18">
        <f t="shared" si="4"/>
        <v>6900.0637500000003</v>
      </c>
      <c r="Q17" s="18">
        <f t="shared" si="4"/>
        <v>4617.6412500000006</v>
      </c>
      <c r="R17" s="51">
        <f>0.16245*R13</f>
        <v>106315.28472375001</v>
      </c>
      <c r="S17" s="18"/>
      <c r="T17" s="18"/>
      <c r="U17" s="39">
        <v>99993.681056250003</v>
      </c>
      <c r="V17" s="9"/>
    </row>
    <row r="18" spans="1:23" x14ac:dyDescent="0.3">
      <c r="A18" s="14" t="s">
        <v>17</v>
      </c>
      <c r="B18" s="14"/>
      <c r="C18" s="18">
        <f t="shared" ref="C18" si="5">0.0848*C15</f>
        <v>58505.979200000002</v>
      </c>
      <c r="D18" s="18">
        <f>0.0848*D15</f>
        <v>8761.9600000000009</v>
      </c>
      <c r="E18" s="18">
        <f t="shared" ref="E18:Q18" si="6">0.0848*E15</f>
        <v>4507.12</v>
      </c>
      <c r="F18" s="18">
        <f t="shared" si="6"/>
        <v>7852.081439999999</v>
      </c>
      <c r="G18" s="18">
        <f t="shared" si="6"/>
        <v>954</v>
      </c>
      <c r="H18" s="18">
        <f t="shared" si="6"/>
        <v>6563.9885199999999</v>
      </c>
      <c r="I18" s="18">
        <f t="shared" si="6"/>
        <v>11092.9</v>
      </c>
      <c r="J18" s="18">
        <f t="shared" si="6"/>
        <v>1752.18</v>
      </c>
      <c r="K18" s="18">
        <f t="shared" si="6"/>
        <v>3492.3777599999999</v>
      </c>
      <c r="L18" s="18">
        <f t="shared" si="6"/>
        <v>798.18</v>
      </c>
      <c r="M18" s="18">
        <f t="shared" si="6"/>
        <v>2645.76</v>
      </c>
      <c r="N18" s="18">
        <f t="shared" si="6"/>
        <v>1929.3907999999999</v>
      </c>
      <c r="O18" s="18">
        <f t="shared" si="6"/>
        <v>1272</v>
      </c>
      <c r="P18" s="18">
        <f t="shared" si="6"/>
        <v>3601.88</v>
      </c>
      <c r="Q18" s="18">
        <f t="shared" si="6"/>
        <v>2410.44</v>
      </c>
      <c r="R18" s="51">
        <f>0.0848*R15</f>
        <v>57634.258520000003</v>
      </c>
      <c r="S18" s="18"/>
      <c r="T18" s="18"/>
      <c r="U18" s="39">
        <v>60355.138599999998</v>
      </c>
      <c r="V18" s="9"/>
    </row>
    <row r="19" spans="1:23" x14ac:dyDescent="0.3">
      <c r="A19" s="14" t="s">
        <v>18</v>
      </c>
      <c r="B19" s="14"/>
      <c r="C19" s="18">
        <f t="shared" ref="C19" si="7">C18+C17+C15</f>
        <v>856420.20525</v>
      </c>
      <c r="D19" s="18">
        <f>D18+D17+D15</f>
        <v>128872.10625000001</v>
      </c>
      <c r="E19" s="18">
        <f t="shared" ref="E19:R19" si="8">E18+E17+E15</f>
        <v>63822.097500000003</v>
      </c>
      <c r="F19" s="18">
        <f t="shared" si="8"/>
        <v>114839.68792499999</v>
      </c>
      <c r="G19" s="18">
        <f t="shared" si="8"/>
        <v>14031.5625</v>
      </c>
      <c r="H19" s="18">
        <f t="shared" si="8"/>
        <v>96219.141056249995</v>
      </c>
      <c r="I19" s="18">
        <f t="shared" si="8"/>
        <v>162506.09062500001</v>
      </c>
      <c r="J19" s="18">
        <f t="shared" si="8"/>
        <v>25771.303124999999</v>
      </c>
      <c r="K19" s="18">
        <f t="shared" si="8"/>
        <v>51366.369824999994</v>
      </c>
      <c r="L19" s="18">
        <f t="shared" si="8"/>
        <v>11739.740625</v>
      </c>
      <c r="M19" s="18">
        <f t="shared" si="8"/>
        <v>38914.199999999997</v>
      </c>
      <c r="N19" s="18">
        <f t="shared" si="8"/>
        <v>28377.743812500001</v>
      </c>
      <c r="O19" s="18">
        <f t="shared" si="8"/>
        <v>18708.75</v>
      </c>
      <c r="P19" s="18">
        <f t="shared" si="8"/>
        <v>52976.943749999999</v>
      </c>
      <c r="Q19" s="18">
        <f t="shared" si="8"/>
        <v>35453.081250000003</v>
      </c>
      <c r="R19" s="19">
        <f t="shared" si="8"/>
        <v>843598.81824375002</v>
      </c>
      <c r="S19" s="42"/>
      <c r="T19" s="42"/>
      <c r="U19" s="39">
        <v>872083.94465625007</v>
      </c>
      <c r="V19" s="9"/>
    </row>
    <row r="20" spans="1:23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/>
      <c r="S20" s="23"/>
      <c r="T20" s="23"/>
      <c r="U20" s="10"/>
      <c r="V20" s="9"/>
    </row>
    <row r="21" spans="1:23" x14ac:dyDescent="0.3">
      <c r="A21" s="13" t="s">
        <v>19</v>
      </c>
      <c r="B21" s="14"/>
      <c r="C21" s="14"/>
      <c r="D21" s="24">
        <v>340000</v>
      </c>
      <c r="E21" s="24"/>
      <c r="F21" s="24"/>
      <c r="G21" s="24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9">
        <f>SUM(D21:Q21)</f>
        <v>340000</v>
      </c>
      <c r="S21" s="19">
        <v>325000</v>
      </c>
      <c r="T21" s="19">
        <v>325000</v>
      </c>
      <c r="U21" s="46">
        <v>325000</v>
      </c>
      <c r="V21" s="68">
        <f>R21/U21-1</f>
        <v>4.6153846153846212E-2</v>
      </c>
    </row>
    <row r="22" spans="1:23" ht="15" thickBot="1" x14ac:dyDescent="0.35">
      <c r="A22" s="13" t="s">
        <v>20</v>
      </c>
      <c r="B22" s="14"/>
      <c r="C22" s="14"/>
      <c r="D22" s="25"/>
      <c r="E22" s="25"/>
      <c r="F22" s="26">
        <v>100000</v>
      </c>
      <c r="G22" s="25"/>
      <c r="H22" s="26">
        <v>125000</v>
      </c>
      <c r="I22" s="26">
        <v>365000</v>
      </c>
      <c r="J22" s="26"/>
      <c r="K22" s="26"/>
      <c r="L22" s="52">
        <f>124000+100000+50000</f>
        <v>274000</v>
      </c>
      <c r="M22" s="26">
        <f>8/12*92340</f>
        <v>61560</v>
      </c>
      <c r="N22" s="52">
        <f>38390</f>
        <v>38390</v>
      </c>
      <c r="O22" s="52">
        <v>10000</v>
      </c>
      <c r="P22" s="52">
        <v>75000</v>
      </c>
      <c r="Q22" s="25"/>
      <c r="R22" s="53">
        <f>SUM(D22:Q22)</f>
        <v>1048950</v>
      </c>
      <c r="S22" s="27">
        <f>1558616-S21</f>
        <v>1233616</v>
      </c>
      <c r="T22" s="27">
        <f>((S22-520000)/9*12)+520000</f>
        <v>1471488</v>
      </c>
      <c r="U22" s="47">
        <v>1013208</v>
      </c>
      <c r="V22" s="69">
        <f>R22/U22-1</f>
        <v>3.5276073619631809E-2</v>
      </c>
    </row>
    <row r="23" spans="1:23" x14ac:dyDescent="0.3">
      <c r="A23" s="13"/>
      <c r="B23" s="14"/>
      <c r="C23" s="14"/>
      <c r="D23" s="18">
        <f t="shared" ref="D23:Q23" si="9">D22+D21</f>
        <v>340000</v>
      </c>
      <c r="E23" s="18"/>
      <c r="F23" s="18">
        <f t="shared" si="9"/>
        <v>100000</v>
      </c>
      <c r="G23" s="18">
        <f t="shared" si="9"/>
        <v>0</v>
      </c>
      <c r="H23" s="18">
        <f t="shared" si="9"/>
        <v>125000</v>
      </c>
      <c r="I23" s="24">
        <f t="shared" si="9"/>
        <v>365000</v>
      </c>
      <c r="J23" s="24">
        <f t="shared" si="9"/>
        <v>0</v>
      </c>
      <c r="K23" s="18">
        <f t="shared" si="9"/>
        <v>0</v>
      </c>
      <c r="L23" s="18">
        <f t="shared" si="9"/>
        <v>274000</v>
      </c>
      <c r="M23" s="18">
        <f t="shared" si="9"/>
        <v>61560</v>
      </c>
      <c r="N23" s="24">
        <f t="shared" si="9"/>
        <v>38390</v>
      </c>
      <c r="O23" s="24">
        <f t="shared" si="9"/>
        <v>10000</v>
      </c>
      <c r="P23" s="24">
        <f t="shared" si="9"/>
        <v>75000</v>
      </c>
      <c r="Q23" s="18">
        <f t="shared" si="9"/>
        <v>0</v>
      </c>
      <c r="R23" s="19">
        <f>SUM(D23:Q23)</f>
        <v>1388950</v>
      </c>
      <c r="S23" s="19">
        <f>S22+S21</f>
        <v>1558616</v>
      </c>
      <c r="T23" s="19">
        <f>T22+T21</f>
        <v>1796488</v>
      </c>
      <c r="U23" s="8">
        <v>1338208</v>
      </c>
      <c r="V23" s="68">
        <f>R23/U23-1</f>
        <v>3.791787225902099E-2</v>
      </c>
    </row>
    <row r="24" spans="1:23" x14ac:dyDescent="0.3">
      <c r="A24" s="13" t="s">
        <v>21</v>
      </c>
      <c r="B24" s="14"/>
      <c r="C24" s="14"/>
      <c r="D24" s="18"/>
      <c r="E24" s="18"/>
      <c r="F24" s="18"/>
      <c r="G24" s="18"/>
      <c r="H24" s="18">
        <v>25000</v>
      </c>
      <c r="I24" s="24"/>
      <c r="J24" s="92">
        <v>15000</v>
      </c>
      <c r="K24" s="18">
        <v>71500</v>
      </c>
      <c r="L24" s="18"/>
      <c r="M24" s="18"/>
      <c r="N24" s="24"/>
      <c r="O24" s="24"/>
      <c r="P24" s="24"/>
      <c r="Q24" s="92">
        <v>75000</v>
      </c>
      <c r="R24" s="19">
        <f t="shared" ref="R24:R87" si="10">SUM(D24:Q24)</f>
        <v>186500</v>
      </c>
      <c r="S24" s="19">
        <v>101140</v>
      </c>
      <c r="T24" s="19">
        <f>S24/9*12</f>
        <v>134853.33333333331</v>
      </c>
      <c r="U24" s="8">
        <v>161100</v>
      </c>
      <c r="V24" s="68">
        <f>R24/U24-1</f>
        <v>0.1576660459342023</v>
      </c>
    </row>
    <row r="25" spans="1:23" x14ac:dyDescent="0.3">
      <c r="A25" s="13" t="s">
        <v>22</v>
      </c>
      <c r="B25" s="14"/>
      <c r="C25" s="14"/>
      <c r="D25" s="18">
        <f>3078</f>
        <v>3078</v>
      </c>
      <c r="E25" s="18"/>
      <c r="F25" s="18">
        <v>1500</v>
      </c>
      <c r="G25" s="18">
        <v>1500</v>
      </c>
      <c r="I25" s="18"/>
      <c r="J25" s="18"/>
      <c r="K25" s="18"/>
      <c r="L25" s="18"/>
      <c r="M25" s="18"/>
      <c r="N25" s="24"/>
      <c r="O25" s="24"/>
      <c r="P25" s="24"/>
      <c r="Q25" s="18">
        <v>1000</v>
      </c>
      <c r="R25" s="19">
        <f t="shared" si="10"/>
        <v>7078</v>
      </c>
      <c r="S25" s="19">
        <v>2125</v>
      </c>
      <c r="T25" s="19">
        <f>S25/9*12</f>
        <v>2833.3333333333335</v>
      </c>
      <c r="U25" s="8">
        <v>5500</v>
      </c>
      <c r="V25" s="68"/>
      <c r="W25" t="s">
        <v>136</v>
      </c>
    </row>
    <row r="26" spans="1:23" ht="15" thickBot="1" x14ac:dyDescent="0.35">
      <c r="A26" s="13" t="s">
        <v>23</v>
      </c>
      <c r="B26" s="14"/>
      <c r="C26" s="14"/>
      <c r="D26" s="25"/>
      <c r="E26" s="25"/>
      <c r="F26" s="25">
        <v>2500</v>
      </c>
      <c r="G26" s="25"/>
      <c r="H26" s="25"/>
      <c r="I26" s="25"/>
      <c r="J26" s="25"/>
      <c r="K26" s="25"/>
      <c r="L26" s="25"/>
      <c r="M26" s="25"/>
      <c r="N26" s="26"/>
      <c r="O26" s="26"/>
      <c r="P26" s="26"/>
      <c r="Q26" s="25"/>
      <c r="R26" s="53">
        <f t="shared" si="10"/>
        <v>2500</v>
      </c>
      <c r="S26" s="27">
        <v>0</v>
      </c>
      <c r="T26" s="27"/>
      <c r="U26" s="47">
        <v>25000</v>
      </c>
      <c r="V26" s="69"/>
    </row>
    <row r="27" spans="1:23" x14ac:dyDescent="0.3">
      <c r="A27" s="13"/>
      <c r="B27" s="14"/>
      <c r="C27" s="14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24"/>
      <c r="O27" s="24"/>
      <c r="P27" s="24"/>
      <c r="Q27" s="18"/>
      <c r="R27" s="19">
        <f t="shared" si="10"/>
        <v>0</v>
      </c>
      <c r="S27" s="19">
        <f>SUM(S24:S26)</f>
        <v>103265</v>
      </c>
      <c r="T27" s="19">
        <f>SUM(T24:T26)</f>
        <v>137686.66666666666</v>
      </c>
      <c r="U27" s="8">
        <v>25000</v>
      </c>
      <c r="V27" s="68">
        <f>R27/U27-1</f>
        <v>-1</v>
      </c>
    </row>
    <row r="28" spans="1:23" x14ac:dyDescent="0.3">
      <c r="A28" s="13" t="s">
        <v>24</v>
      </c>
      <c r="B28" s="14"/>
      <c r="C28" s="14"/>
      <c r="D28" s="18">
        <v>20000</v>
      </c>
      <c r="E28" s="18"/>
      <c r="F28" s="18"/>
      <c r="G28" s="18"/>
      <c r="H28" s="18"/>
      <c r="I28" s="18"/>
      <c r="J28" s="18"/>
      <c r="K28" s="18"/>
      <c r="L28" s="18"/>
      <c r="M28" s="18"/>
      <c r="N28" s="24"/>
      <c r="O28" s="92">
        <v>27000</v>
      </c>
      <c r="P28" s="24"/>
      <c r="Q28" s="18"/>
      <c r="R28" s="19">
        <f t="shared" si="10"/>
        <v>47000</v>
      </c>
      <c r="S28" s="19">
        <v>32428</v>
      </c>
      <c r="T28" s="19">
        <v>32428</v>
      </c>
      <c r="U28" s="8">
        <v>50000</v>
      </c>
      <c r="V28" s="68">
        <f>R28/U28-1</f>
        <v>-6.0000000000000053E-2</v>
      </c>
    </row>
    <row r="29" spans="1:23" ht="15" thickBot="1" x14ac:dyDescent="0.35">
      <c r="A29" s="13" t="s">
        <v>25</v>
      </c>
      <c r="B29" s="14"/>
      <c r="C29" s="14"/>
      <c r="D29" s="25">
        <v>25000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53">
        <f t="shared" si="10"/>
        <v>25000</v>
      </c>
      <c r="S29" s="27">
        <v>0</v>
      </c>
      <c r="T29" s="27"/>
      <c r="U29" s="47">
        <v>20000</v>
      </c>
      <c r="V29" s="69">
        <f>R29/U29-1</f>
        <v>0.25</v>
      </c>
      <c r="W29" t="s">
        <v>137</v>
      </c>
    </row>
    <row r="30" spans="1:23" x14ac:dyDescent="0.3">
      <c r="A30" s="13"/>
      <c r="B30" s="14"/>
      <c r="C30" s="14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9">
        <f t="shared" si="10"/>
        <v>0</v>
      </c>
      <c r="S30" s="19">
        <f>SUM(S28:S29)</f>
        <v>32428</v>
      </c>
      <c r="T30" s="19">
        <v>32428</v>
      </c>
      <c r="U30" s="8">
        <v>70000</v>
      </c>
      <c r="V30" s="68">
        <f>R30/U30-1</f>
        <v>-1</v>
      </c>
    </row>
    <row r="31" spans="1:23" x14ac:dyDescent="0.3">
      <c r="A31" s="13" t="s">
        <v>26</v>
      </c>
      <c r="B31" s="14"/>
      <c r="C31" s="14"/>
      <c r="D31" s="28">
        <v>3000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19">
        <f t="shared" si="10"/>
        <v>3000</v>
      </c>
      <c r="S31" s="19"/>
      <c r="T31" s="19"/>
      <c r="U31" s="8"/>
      <c r="V31" s="9"/>
    </row>
    <row r="32" spans="1:23" x14ac:dyDescent="0.3">
      <c r="A32" s="13" t="s">
        <v>27</v>
      </c>
      <c r="B32" s="14"/>
      <c r="C32" s="14"/>
      <c r="D32" s="20">
        <v>30000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41">
        <f t="shared" si="10"/>
        <v>30000</v>
      </c>
      <c r="S32" s="21">
        <v>34727</v>
      </c>
      <c r="T32" s="21">
        <f>S32/9*12</f>
        <v>46302.666666666672</v>
      </c>
      <c r="U32" s="11">
        <v>25000</v>
      </c>
      <c r="V32" s="68">
        <f>R32/U32-1</f>
        <v>0.19999999999999996</v>
      </c>
    </row>
    <row r="33" spans="1:23" ht="15" thickBot="1" x14ac:dyDescent="0.35">
      <c r="A33" s="14"/>
      <c r="B33" s="14"/>
      <c r="C33" s="14"/>
      <c r="D33" s="85">
        <f t="shared" ref="D33:Q33" si="11">SUM(D23:D32)</f>
        <v>421078</v>
      </c>
      <c r="E33" s="85">
        <f t="shared" si="11"/>
        <v>0</v>
      </c>
      <c r="F33" s="85">
        <f t="shared" si="11"/>
        <v>104000</v>
      </c>
      <c r="G33" s="85">
        <f t="shared" si="11"/>
        <v>1500</v>
      </c>
      <c r="H33" s="85">
        <f t="shared" si="11"/>
        <v>150000</v>
      </c>
      <c r="I33" s="85">
        <f t="shared" si="11"/>
        <v>365000</v>
      </c>
      <c r="J33" s="85">
        <f t="shared" si="11"/>
        <v>15000</v>
      </c>
      <c r="K33" s="85">
        <f t="shared" si="11"/>
        <v>71500</v>
      </c>
      <c r="L33" s="85">
        <f t="shared" si="11"/>
        <v>274000</v>
      </c>
      <c r="M33" s="85">
        <f t="shared" si="11"/>
        <v>61560</v>
      </c>
      <c r="N33" s="85">
        <f t="shared" si="11"/>
        <v>38390</v>
      </c>
      <c r="O33" s="85">
        <f t="shared" si="11"/>
        <v>37000</v>
      </c>
      <c r="P33" s="85">
        <f t="shared" si="11"/>
        <v>75000</v>
      </c>
      <c r="Q33" s="85">
        <f t="shared" si="11"/>
        <v>76000</v>
      </c>
      <c r="R33" s="90">
        <f t="shared" si="10"/>
        <v>1690028</v>
      </c>
      <c r="S33" s="27">
        <f>S32+S31+S30+S27+S23</f>
        <v>1729036</v>
      </c>
      <c r="T33" s="27">
        <f>T32+T31+T30+T27+T23</f>
        <v>2012905.3333333333</v>
      </c>
      <c r="U33" s="47">
        <v>1624808</v>
      </c>
      <c r="V33" s="70">
        <f>R33/U33-1</f>
        <v>4.0140127325813291E-2</v>
      </c>
    </row>
    <row r="34" spans="1:23" x14ac:dyDescent="0.3">
      <c r="A34" s="29" t="s">
        <v>131</v>
      </c>
      <c r="B34" s="29"/>
      <c r="C34" s="29"/>
      <c r="D34" s="30">
        <f t="shared" ref="D34:Q34" si="12">D33/$R33</f>
        <v>0.24915445187890378</v>
      </c>
      <c r="E34" s="30">
        <f t="shared" si="12"/>
        <v>0</v>
      </c>
      <c r="F34" s="30">
        <f t="shared" si="12"/>
        <v>6.1537441983209748E-2</v>
      </c>
      <c r="G34" s="30">
        <f t="shared" si="12"/>
        <v>8.8755925937321746E-4</v>
      </c>
      <c r="H34" s="30">
        <f t="shared" si="12"/>
        <v>8.8755925937321747E-2</v>
      </c>
      <c r="I34" s="30">
        <f t="shared" si="12"/>
        <v>0.2159727531141496</v>
      </c>
      <c r="J34" s="30">
        <f t="shared" si="12"/>
        <v>8.8755925937321744E-3</v>
      </c>
      <c r="K34" s="30">
        <f t="shared" si="12"/>
        <v>4.2306991363456697E-2</v>
      </c>
      <c r="L34" s="30">
        <f t="shared" si="12"/>
        <v>0.16212749137884105</v>
      </c>
      <c r="M34" s="30">
        <f t="shared" si="12"/>
        <v>3.6425432004676843E-2</v>
      </c>
      <c r="N34" s="30">
        <f t="shared" si="12"/>
        <v>2.2715599978225212E-2</v>
      </c>
      <c r="O34" s="30">
        <f t="shared" si="12"/>
        <v>2.1893128397872698E-2</v>
      </c>
      <c r="P34" s="30">
        <f t="shared" si="12"/>
        <v>4.4377962968660874E-2</v>
      </c>
      <c r="Q34" s="30">
        <f t="shared" si="12"/>
        <v>4.4969669141576352E-2</v>
      </c>
      <c r="R34" s="19"/>
      <c r="S34" s="19"/>
      <c r="T34" s="19"/>
      <c r="U34" s="8"/>
      <c r="V34" s="9"/>
    </row>
    <row r="35" spans="1:23" x14ac:dyDescent="0.3">
      <c r="A35" s="29"/>
      <c r="B35" s="29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19">
        <f t="shared" si="10"/>
        <v>0</v>
      </c>
      <c r="S35" s="19"/>
      <c r="T35" s="19"/>
      <c r="U35" s="8"/>
      <c r="V35" s="9"/>
    </row>
    <row r="36" spans="1:23" x14ac:dyDescent="0.3">
      <c r="A36" s="29" t="s">
        <v>28</v>
      </c>
      <c r="B36" s="29"/>
      <c r="C36" s="14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>
        <f t="shared" si="10"/>
        <v>0</v>
      </c>
      <c r="S36" s="19"/>
      <c r="T36" s="19"/>
      <c r="U36" s="8"/>
      <c r="V36" s="9"/>
    </row>
    <row r="37" spans="1:23" x14ac:dyDescent="0.3">
      <c r="A37" s="29"/>
      <c r="B37" s="29" t="s">
        <v>29</v>
      </c>
      <c r="C37" s="14"/>
      <c r="D37" s="18">
        <f t="shared" ref="D37:Q37" si="13">D14</f>
        <v>0</v>
      </c>
      <c r="E37" s="18">
        <f t="shared" si="13"/>
        <v>15200</v>
      </c>
      <c r="F37" s="18">
        <f t="shared" si="13"/>
        <v>4000</v>
      </c>
      <c r="G37" s="18">
        <f t="shared" si="13"/>
        <v>0</v>
      </c>
      <c r="H37" s="18">
        <f t="shared" si="13"/>
        <v>2000</v>
      </c>
      <c r="I37" s="18">
        <f t="shared" si="13"/>
        <v>4000</v>
      </c>
      <c r="J37" s="18">
        <f t="shared" si="13"/>
        <v>0</v>
      </c>
      <c r="K37" s="18">
        <f t="shared" si="13"/>
        <v>0</v>
      </c>
      <c r="L37" s="18">
        <f t="shared" si="13"/>
        <v>0</v>
      </c>
      <c r="M37" s="18">
        <f t="shared" si="13"/>
        <v>0</v>
      </c>
      <c r="N37" s="18">
        <f t="shared" si="13"/>
        <v>0</v>
      </c>
      <c r="O37" s="18">
        <f t="shared" si="13"/>
        <v>0</v>
      </c>
      <c r="P37" s="18">
        <f t="shared" si="13"/>
        <v>0</v>
      </c>
      <c r="Q37" s="18">
        <f t="shared" si="13"/>
        <v>0</v>
      </c>
      <c r="R37" s="19">
        <f t="shared" si="10"/>
        <v>25200</v>
      </c>
      <c r="S37" s="19"/>
      <c r="T37" s="19"/>
      <c r="U37" s="8">
        <v>29200</v>
      </c>
      <c r="V37" s="9"/>
    </row>
    <row r="38" spans="1:23" x14ac:dyDescent="0.3">
      <c r="A38" s="29"/>
      <c r="B38" s="29" t="s">
        <v>30</v>
      </c>
      <c r="C38" s="14"/>
      <c r="D38" s="18">
        <f t="shared" ref="D38:Q38" si="14">D13</f>
        <v>103325</v>
      </c>
      <c r="E38" s="18">
        <f t="shared" si="14"/>
        <v>37950</v>
      </c>
      <c r="F38" s="18">
        <f t="shared" si="14"/>
        <v>88595.299999999988</v>
      </c>
      <c r="G38" s="18">
        <f t="shared" si="14"/>
        <v>11250</v>
      </c>
      <c r="H38" s="18">
        <f t="shared" si="14"/>
        <v>75405.524999999994</v>
      </c>
      <c r="I38" s="18">
        <f t="shared" si="14"/>
        <v>126812.5</v>
      </c>
      <c r="J38" s="18">
        <f t="shared" si="14"/>
        <v>20662.5</v>
      </c>
      <c r="K38" s="18">
        <f t="shared" si="14"/>
        <v>41183.699999999997</v>
      </c>
      <c r="L38" s="18">
        <f t="shared" si="14"/>
        <v>9412.5</v>
      </c>
      <c r="M38" s="18">
        <f t="shared" si="14"/>
        <v>31200</v>
      </c>
      <c r="N38" s="18">
        <f t="shared" si="14"/>
        <v>22752.25</v>
      </c>
      <c r="O38" s="18">
        <f t="shared" si="14"/>
        <v>15000</v>
      </c>
      <c r="P38" s="18">
        <f t="shared" si="14"/>
        <v>42475</v>
      </c>
      <c r="Q38" s="18">
        <f t="shared" si="14"/>
        <v>28425</v>
      </c>
      <c r="R38" s="19">
        <f t="shared" si="10"/>
        <v>654449.27499999991</v>
      </c>
      <c r="S38" s="19"/>
      <c r="T38" s="19"/>
      <c r="U38" s="8">
        <v>682635.625</v>
      </c>
      <c r="V38" s="9"/>
      <c r="W38" t="s">
        <v>148</v>
      </c>
    </row>
    <row r="39" spans="1:23" x14ac:dyDescent="0.3">
      <c r="A39" s="29"/>
      <c r="B39" s="29" t="s">
        <v>31</v>
      </c>
      <c r="C39" s="14"/>
      <c r="D39" s="18">
        <f t="shared" ref="D39:Q39" si="15">D18</f>
        <v>8761.9600000000009</v>
      </c>
      <c r="E39" s="18">
        <f t="shared" si="15"/>
        <v>4507.12</v>
      </c>
      <c r="F39" s="18">
        <f t="shared" si="15"/>
        <v>7852.081439999999</v>
      </c>
      <c r="G39" s="18">
        <f t="shared" si="15"/>
        <v>954</v>
      </c>
      <c r="H39" s="18">
        <f t="shared" si="15"/>
        <v>6563.9885199999999</v>
      </c>
      <c r="I39" s="18">
        <f t="shared" si="15"/>
        <v>11092.9</v>
      </c>
      <c r="J39" s="18">
        <f t="shared" si="15"/>
        <v>1752.18</v>
      </c>
      <c r="K39" s="18">
        <f t="shared" si="15"/>
        <v>3492.3777599999999</v>
      </c>
      <c r="L39" s="18">
        <f t="shared" si="15"/>
        <v>798.18</v>
      </c>
      <c r="M39" s="18">
        <f t="shared" si="15"/>
        <v>2645.76</v>
      </c>
      <c r="N39" s="18">
        <f t="shared" si="15"/>
        <v>1929.3907999999999</v>
      </c>
      <c r="O39" s="18">
        <f t="shared" si="15"/>
        <v>1272</v>
      </c>
      <c r="P39" s="18">
        <f t="shared" si="15"/>
        <v>3601.88</v>
      </c>
      <c r="Q39" s="18">
        <f t="shared" si="15"/>
        <v>2410.44</v>
      </c>
      <c r="R39" s="19">
        <f t="shared" si="10"/>
        <v>57634.258520000003</v>
      </c>
      <c r="S39" s="19"/>
      <c r="T39" s="19"/>
      <c r="U39" s="8">
        <v>60363.661</v>
      </c>
      <c r="V39" s="9"/>
    </row>
    <row r="40" spans="1:23" x14ac:dyDescent="0.3">
      <c r="A40" s="29"/>
      <c r="B40" s="29" t="s">
        <v>32</v>
      </c>
      <c r="C40" s="14"/>
      <c r="D40" s="18">
        <f t="shared" ref="D40:Q40" si="16">D17</f>
        <v>16785.146250000002</v>
      </c>
      <c r="E40" s="18">
        <f t="shared" si="16"/>
        <v>6164.9775000000009</v>
      </c>
      <c r="F40" s="18">
        <f t="shared" si="16"/>
        <v>14392.306484999999</v>
      </c>
      <c r="G40" s="18">
        <f t="shared" si="16"/>
        <v>1827.5625000000002</v>
      </c>
      <c r="H40" s="18">
        <f t="shared" si="16"/>
        <v>12249.62753625</v>
      </c>
      <c r="I40" s="18">
        <f t="shared" si="16"/>
        <v>20600.690625000003</v>
      </c>
      <c r="J40" s="18">
        <f t="shared" si="16"/>
        <v>3356.6231250000001</v>
      </c>
      <c r="K40" s="18">
        <f t="shared" si="16"/>
        <v>6690.2920649999996</v>
      </c>
      <c r="L40" s="18">
        <f t="shared" si="16"/>
        <v>1529.0606250000001</v>
      </c>
      <c r="M40" s="18">
        <f t="shared" si="16"/>
        <v>5068.4400000000005</v>
      </c>
      <c r="N40" s="18">
        <f t="shared" si="16"/>
        <v>3696.1030125000002</v>
      </c>
      <c r="O40" s="18">
        <f t="shared" si="16"/>
        <v>2436.75</v>
      </c>
      <c r="P40" s="18">
        <f t="shared" si="16"/>
        <v>6900.0637500000003</v>
      </c>
      <c r="Q40" s="18">
        <f t="shared" si="16"/>
        <v>4617.6412500000006</v>
      </c>
      <c r="R40" s="19">
        <f t="shared" si="10"/>
        <v>106315.28472375001</v>
      </c>
      <c r="S40" s="19"/>
      <c r="T40" s="19"/>
      <c r="U40" s="8">
        <v>99993.762281250005</v>
      </c>
      <c r="V40" s="9"/>
    </row>
    <row r="41" spans="1:23" x14ac:dyDescent="0.3">
      <c r="A41" s="29"/>
      <c r="B41" s="29" t="s">
        <v>33</v>
      </c>
      <c r="C41" s="14"/>
      <c r="D41" s="18">
        <f>0.03*D38</f>
        <v>3099.75</v>
      </c>
      <c r="E41" s="18">
        <f t="shared" ref="E41:Q41" si="17">0.03*E38</f>
        <v>1138.5</v>
      </c>
      <c r="F41" s="18">
        <f t="shared" si="17"/>
        <v>2657.8589999999995</v>
      </c>
      <c r="G41" s="18">
        <f t="shared" si="17"/>
        <v>337.5</v>
      </c>
      <c r="H41" s="18">
        <f t="shared" si="17"/>
        <v>2262.1657499999997</v>
      </c>
      <c r="I41" s="18">
        <f t="shared" si="17"/>
        <v>3804.375</v>
      </c>
      <c r="J41" s="18">
        <f t="shared" si="17"/>
        <v>619.875</v>
      </c>
      <c r="K41" s="18">
        <f t="shared" si="17"/>
        <v>1235.511</v>
      </c>
      <c r="L41" s="18">
        <f t="shared" si="17"/>
        <v>282.375</v>
      </c>
      <c r="M41" s="18">
        <f t="shared" si="17"/>
        <v>936</v>
      </c>
      <c r="N41" s="18">
        <f t="shared" si="17"/>
        <v>682.5675</v>
      </c>
      <c r="O41" s="18">
        <f t="shared" si="17"/>
        <v>450</v>
      </c>
      <c r="P41" s="18">
        <f t="shared" si="17"/>
        <v>1274.25</v>
      </c>
      <c r="Q41" s="18">
        <f t="shared" si="17"/>
        <v>852.75</v>
      </c>
      <c r="R41" s="19">
        <f t="shared" si="10"/>
        <v>19633.47825</v>
      </c>
      <c r="S41" s="19"/>
      <c r="T41" s="19"/>
      <c r="U41" s="8">
        <v>20479.068750000002</v>
      </c>
      <c r="V41" s="9"/>
    </row>
    <row r="42" spans="1:23" x14ac:dyDescent="0.3">
      <c r="A42" s="29"/>
      <c r="B42" s="29" t="s">
        <v>34</v>
      </c>
      <c r="C42" s="14"/>
      <c r="D42" s="24">
        <v>4500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>
        <f t="shared" si="10"/>
        <v>4500</v>
      </c>
      <c r="S42" s="19"/>
      <c r="T42" s="19"/>
      <c r="U42" s="8">
        <v>4100</v>
      </c>
      <c r="V42" s="9"/>
    </row>
    <row r="43" spans="1:23" ht="15" thickBot="1" x14ac:dyDescent="0.35">
      <c r="A43" s="29"/>
      <c r="B43" s="29" t="s">
        <v>35</v>
      </c>
      <c r="C43" s="14"/>
      <c r="D43" s="32">
        <v>3000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3">
        <f t="shared" si="10"/>
        <v>3000</v>
      </c>
      <c r="S43" s="27"/>
      <c r="T43" s="27"/>
      <c r="U43" s="47">
        <v>2693</v>
      </c>
      <c r="V43" s="71"/>
    </row>
    <row r="44" spans="1:23" x14ac:dyDescent="0.3">
      <c r="A44" s="29" t="s">
        <v>36</v>
      </c>
      <c r="B44" s="29"/>
      <c r="C44" s="14"/>
      <c r="D44" s="86">
        <f>SUM(D37:D43)</f>
        <v>139471.85625000001</v>
      </c>
      <c r="E44" s="86">
        <f t="shared" ref="E44:Q44" si="18">SUM(E37:E43)</f>
        <v>64960.597500000003</v>
      </c>
      <c r="F44" s="86">
        <f t="shared" si="18"/>
        <v>117497.54692499997</v>
      </c>
      <c r="G44" s="86">
        <f t="shared" si="18"/>
        <v>14369.0625</v>
      </c>
      <c r="H44" s="86">
        <f t="shared" si="18"/>
        <v>98481.306806249995</v>
      </c>
      <c r="I44" s="86">
        <f t="shared" si="18"/>
        <v>166310.46562500001</v>
      </c>
      <c r="J44" s="86">
        <f>SUM(J37:J43)</f>
        <v>26391.178124999999</v>
      </c>
      <c r="K44" s="86">
        <f t="shared" si="18"/>
        <v>52601.880825</v>
      </c>
      <c r="L44" s="86">
        <f t="shared" si="18"/>
        <v>12022.115625</v>
      </c>
      <c r="M44" s="86">
        <f t="shared" si="18"/>
        <v>39850.200000000004</v>
      </c>
      <c r="N44" s="86">
        <f t="shared" si="18"/>
        <v>29060.311312500002</v>
      </c>
      <c r="O44" s="86">
        <f t="shared" si="18"/>
        <v>19158.75</v>
      </c>
      <c r="P44" s="86">
        <f t="shared" si="18"/>
        <v>54251.193749999999</v>
      </c>
      <c r="Q44" s="86">
        <f t="shared" si="18"/>
        <v>36305.831250000003</v>
      </c>
      <c r="R44" s="87">
        <f t="shared" si="10"/>
        <v>870732.29649374995</v>
      </c>
      <c r="S44" s="19">
        <v>636398</v>
      </c>
      <c r="T44" s="19">
        <f>S44/9*12</f>
        <v>848530.66666666674</v>
      </c>
      <c r="U44" s="8">
        <v>899465.11703124992</v>
      </c>
      <c r="V44" s="68">
        <f>R44/U44-1</f>
        <v>-3.1944341135023424E-2</v>
      </c>
    </row>
    <row r="45" spans="1:23" x14ac:dyDescent="0.3">
      <c r="A45" s="29" t="s">
        <v>37</v>
      </c>
      <c r="B45" s="29"/>
      <c r="C45" s="14"/>
      <c r="D45" s="24"/>
      <c r="E45" s="24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>
        <f t="shared" si="10"/>
        <v>0</v>
      </c>
      <c r="S45" s="19"/>
      <c r="T45" s="19"/>
      <c r="U45" s="8">
        <v>0</v>
      </c>
      <c r="V45" s="9"/>
    </row>
    <row r="46" spans="1:23" x14ac:dyDescent="0.3">
      <c r="A46" s="29"/>
      <c r="B46" s="29" t="s">
        <v>38</v>
      </c>
      <c r="C46" s="14"/>
      <c r="D46" s="18">
        <v>10000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>
        <f t="shared" si="10"/>
        <v>10000</v>
      </c>
      <c r="S46" s="19"/>
      <c r="T46" s="19"/>
      <c r="U46" s="8">
        <v>5000</v>
      </c>
      <c r="V46" s="9"/>
      <c r="W46" t="s">
        <v>138</v>
      </c>
    </row>
    <row r="47" spans="1:23" x14ac:dyDescent="0.3">
      <c r="A47" s="29"/>
      <c r="B47" s="29" t="s">
        <v>39</v>
      </c>
      <c r="C47" s="14"/>
      <c r="D47" s="18">
        <v>2500</v>
      </c>
      <c r="E47" s="18">
        <f>359.88+556.08+2778+1776</f>
        <v>5469.96</v>
      </c>
      <c r="F47" s="18">
        <v>2499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>
        <f t="shared" si="10"/>
        <v>10468.959999999999</v>
      </c>
      <c r="S47" s="19"/>
      <c r="T47" s="19"/>
      <c r="U47" s="8">
        <v>10000</v>
      </c>
      <c r="V47" s="9"/>
    </row>
    <row r="48" spans="1:23" x14ac:dyDescent="0.3">
      <c r="A48" s="29"/>
      <c r="B48" s="29" t="s">
        <v>40</v>
      </c>
      <c r="C48" s="14"/>
      <c r="D48" s="18">
        <f>750*10</f>
        <v>7500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>
        <f t="shared" si="10"/>
        <v>7500</v>
      </c>
      <c r="S48" s="19"/>
      <c r="T48" s="19"/>
      <c r="U48" s="8">
        <v>5000</v>
      </c>
      <c r="V48" s="9"/>
      <c r="W48" t="s">
        <v>139</v>
      </c>
    </row>
    <row r="49" spans="1:23" ht="15" thickBot="1" x14ac:dyDescent="0.35">
      <c r="A49" s="29"/>
      <c r="B49" s="29" t="s">
        <v>41</v>
      </c>
      <c r="C49" s="14"/>
      <c r="D49" s="31">
        <v>2500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3">
        <f t="shared" si="10"/>
        <v>2500</v>
      </c>
      <c r="S49" s="53"/>
      <c r="T49" s="53"/>
      <c r="U49" s="48">
        <v>2500</v>
      </c>
      <c r="V49" s="71"/>
    </row>
    <row r="50" spans="1:23" x14ac:dyDescent="0.3">
      <c r="A50" s="29" t="s">
        <v>42</v>
      </c>
      <c r="B50" s="29"/>
      <c r="C50" s="14"/>
      <c r="D50" s="86">
        <f t="shared" ref="D50:Q50" si="19">SUM(D46:D49)</f>
        <v>22500</v>
      </c>
      <c r="E50" s="86">
        <f t="shared" si="19"/>
        <v>5469.96</v>
      </c>
      <c r="F50" s="86">
        <f t="shared" si="19"/>
        <v>2499</v>
      </c>
      <c r="G50" s="86">
        <f t="shared" si="19"/>
        <v>0</v>
      </c>
      <c r="H50" s="86">
        <f t="shared" si="19"/>
        <v>0</v>
      </c>
      <c r="I50" s="86">
        <f t="shared" si="19"/>
        <v>0</v>
      </c>
      <c r="J50" s="86">
        <f t="shared" si="19"/>
        <v>0</v>
      </c>
      <c r="K50" s="86">
        <f t="shared" si="19"/>
        <v>0</v>
      </c>
      <c r="L50" s="86">
        <f t="shared" si="19"/>
        <v>0</v>
      </c>
      <c r="M50" s="86">
        <f t="shared" si="19"/>
        <v>0</v>
      </c>
      <c r="N50" s="86">
        <f t="shared" si="19"/>
        <v>0</v>
      </c>
      <c r="O50" s="86">
        <f t="shared" si="19"/>
        <v>0</v>
      </c>
      <c r="P50" s="86">
        <f t="shared" si="19"/>
        <v>0</v>
      </c>
      <c r="Q50" s="86">
        <f t="shared" si="19"/>
        <v>0</v>
      </c>
      <c r="R50" s="87">
        <f t="shared" si="10"/>
        <v>30468.959999999999</v>
      </c>
      <c r="S50" s="19">
        <v>6137</v>
      </c>
      <c r="T50" s="19">
        <f>S50/9*12</f>
        <v>8182.666666666667</v>
      </c>
      <c r="U50" s="8">
        <v>22500</v>
      </c>
      <c r="V50" s="68">
        <f>R50/U50-1</f>
        <v>0.35417600000000005</v>
      </c>
    </row>
    <row r="51" spans="1:23" x14ac:dyDescent="0.3">
      <c r="A51" s="29" t="s">
        <v>43</v>
      </c>
      <c r="B51" s="29"/>
      <c r="C51" s="14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>
        <f t="shared" si="10"/>
        <v>0</v>
      </c>
      <c r="S51" s="19"/>
      <c r="T51" s="19"/>
      <c r="U51" s="8"/>
      <c r="V51" s="9"/>
    </row>
    <row r="52" spans="1:23" x14ac:dyDescent="0.3">
      <c r="A52" s="29"/>
      <c r="B52" s="29" t="s">
        <v>44</v>
      </c>
      <c r="C52" s="14"/>
      <c r="D52" s="24">
        <f>239*12</f>
        <v>2868</v>
      </c>
      <c r="E52" s="24"/>
      <c r="F52" s="24"/>
      <c r="G52" s="24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9">
        <f t="shared" si="10"/>
        <v>2868</v>
      </c>
      <c r="S52" s="19"/>
      <c r="T52" s="19"/>
      <c r="U52" s="8">
        <v>12865</v>
      </c>
      <c r="V52" s="9"/>
      <c r="W52" t="s">
        <v>140</v>
      </c>
    </row>
    <row r="53" spans="1:23" ht="15" thickBot="1" x14ac:dyDescent="0.35">
      <c r="A53" s="29"/>
      <c r="B53" s="29" t="s">
        <v>45</v>
      </c>
      <c r="C53" s="14"/>
      <c r="D53" s="55">
        <f>1680</f>
        <v>1680</v>
      </c>
      <c r="E53" s="54"/>
      <c r="F53" s="32"/>
      <c r="G53" s="32"/>
      <c r="H53" s="31">
        <v>120</v>
      </c>
      <c r="I53" s="32">
        <f>850*12+1000</f>
        <v>11200</v>
      </c>
      <c r="J53" s="31"/>
      <c r="K53" s="31"/>
      <c r="L53" s="31"/>
      <c r="M53" s="31">
        <f>(26.5*8)</f>
        <v>212</v>
      </c>
      <c r="N53" s="31"/>
      <c r="O53" s="31"/>
      <c r="P53" s="31"/>
      <c r="Q53" s="31"/>
      <c r="R53" s="53">
        <f t="shared" si="10"/>
        <v>13212</v>
      </c>
      <c r="S53" s="27"/>
      <c r="T53" s="27"/>
      <c r="U53" s="47">
        <v>31965</v>
      </c>
      <c r="V53" s="71"/>
    </row>
    <row r="54" spans="1:23" x14ac:dyDescent="0.3">
      <c r="A54" s="29" t="s">
        <v>46</v>
      </c>
      <c r="B54" s="29"/>
      <c r="C54" s="14"/>
      <c r="D54" s="86">
        <f>SUM(D52:D53)</f>
        <v>4548</v>
      </c>
      <c r="E54" s="86">
        <f t="shared" ref="E54:Q54" si="20">SUM(E52:E53)</f>
        <v>0</v>
      </c>
      <c r="F54" s="86">
        <f t="shared" si="20"/>
        <v>0</v>
      </c>
      <c r="G54" s="86">
        <f t="shared" si="20"/>
        <v>0</v>
      </c>
      <c r="H54" s="86">
        <f t="shared" si="20"/>
        <v>120</v>
      </c>
      <c r="I54" s="86">
        <f t="shared" si="20"/>
        <v>11200</v>
      </c>
      <c r="J54" s="86">
        <f t="shared" si="20"/>
        <v>0</v>
      </c>
      <c r="K54" s="86">
        <f t="shared" si="20"/>
        <v>0</v>
      </c>
      <c r="L54" s="86">
        <f t="shared" si="20"/>
        <v>0</v>
      </c>
      <c r="M54" s="86">
        <f t="shared" si="20"/>
        <v>212</v>
      </c>
      <c r="N54" s="86">
        <f t="shared" si="20"/>
        <v>0</v>
      </c>
      <c r="O54" s="86">
        <f t="shared" si="20"/>
        <v>0</v>
      </c>
      <c r="P54" s="86">
        <f t="shared" si="20"/>
        <v>0</v>
      </c>
      <c r="Q54" s="86">
        <f t="shared" si="20"/>
        <v>0</v>
      </c>
      <c r="R54" s="87">
        <f t="shared" si="10"/>
        <v>16080</v>
      </c>
      <c r="S54" s="19">
        <v>12418</v>
      </c>
      <c r="T54" s="19">
        <f>S54/9*12</f>
        <v>16557.333333333336</v>
      </c>
      <c r="U54" s="8">
        <v>44830</v>
      </c>
      <c r="V54" s="68">
        <f>R54/U54-1</f>
        <v>-0.64131162168190947</v>
      </c>
    </row>
    <row r="55" spans="1:23" x14ac:dyDescent="0.3">
      <c r="A55" s="29" t="s">
        <v>47</v>
      </c>
      <c r="B55" s="29"/>
      <c r="C55" s="14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9">
        <f t="shared" si="10"/>
        <v>0</v>
      </c>
      <c r="S55" s="19"/>
      <c r="T55" s="19"/>
      <c r="U55" s="8"/>
      <c r="V55" s="9"/>
    </row>
    <row r="56" spans="1:23" x14ac:dyDescent="0.3">
      <c r="A56" s="29"/>
      <c r="B56" s="29" t="s">
        <v>48</v>
      </c>
      <c r="C56" s="14"/>
      <c r="D56" s="3">
        <v>5000</v>
      </c>
      <c r="E56" s="18"/>
      <c r="F56" s="18"/>
      <c r="G56" s="18">
        <v>1500</v>
      </c>
      <c r="H56" s="18"/>
      <c r="I56" s="92">
        <v>21300</v>
      </c>
      <c r="J56" s="18"/>
      <c r="K56" s="18"/>
      <c r="L56" s="18"/>
      <c r="M56" s="18"/>
      <c r="N56" s="18">
        <v>25000</v>
      </c>
      <c r="O56" s="18">
        <v>13000</v>
      </c>
      <c r="P56" s="18"/>
      <c r="Q56" s="18"/>
      <c r="R56" s="19">
        <f t="shared" si="10"/>
        <v>65800</v>
      </c>
      <c r="S56" s="19"/>
      <c r="T56" s="19"/>
      <c r="U56" s="8">
        <v>86120</v>
      </c>
      <c r="V56" s="9"/>
    </row>
    <row r="57" spans="1:23" x14ac:dyDescent="0.3">
      <c r="A57" s="29"/>
      <c r="B57" s="29" t="s">
        <v>49</v>
      </c>
      <c r="C57" s="14"/>
      <c r="D57" s="18"/>
      <c r="E57" s="18"/>
      <c r="F57" s="18"/>
      <c r="G57" s="18"/>
      <c r="H57" s="18">
        <v>1000</v>
      </c>
      <c r="I57" s="18">
        <v>27500</v>
      </c>
      <c r="J57" s="18"/>
      <c r="K57" s="18"/>
      <c r="L57" s="18"/>
      <c r="M57" s="18"/>
      <c r="N57" s="18"/>
      <c r="O57" s="18"/>
      <c r="P57" s="18">
        <v>45000</v>
      </c>
      <c r="Q57" s="18"/>
      <c r="R57" s="19">
        <f t="shared" si="10"/>
        <v>73500</v>
      </c>
      <c r="S57" s="19"/>
      <c r="T57" s="19"/>
      <c r="U57" s="8">
        <v>55787</v>
      </c>
      <c r="V57" s="9"/>
      <c r="W57" t="s">
        <v>141</v>
      </c>
    </row>
    <row r="58" spans="1:23" ht="15" thickBot="1" x14ac:dyDescent="0.35">
      <c r="A58" s="29"/>
      <c r="B58" s="29" t="s">
        <v>50</v>
      </c>
      <c r="C58" s="14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3">
        <f t="shared" si="10"/>
        <v>0</v>
      </c>
      <c r="S58" s="27"/>
      <c r="T58" s="27"/>
      <c r="U58" s="47">
        <v>20200</v>
      </c>
      <c r="V58" s="72"/>
    </row>
    <row r="59" spans="1:23" x14ac:dyDescent="0.3">
      <c r="A59" s="29" t="s">
        <v>51</v>
      </c>
      <c r="B59" s="29"/>
      <c r="C59" s="14"/>
      <c r="D59" s="86">
        <f t="shared" ref="D59:Q59" si="21">SUM(D56:D58)</f>
        <v>5000</v>
      </c>
      <c r="E59" s="86">
        <f t="shared" si="21"/>
        <v>0</v>
      </c>
      <c r="F59" s="86">
        <f t="shared" si="21"/>
        <v>0</v>
      </c>
      <c r="G59" s="86">
        <f t="shared" si="21"/>
        <v>1500</v>
      </c>
      <c r="H59" s="86">
        <f t="shared" si="21"/>
        <v>1000</v>
      </c>
      <c r="I59" s="86">
        <f t="shared" si="21"/>
        <v>48800</v>
      </c>
      <c r="J59" s="86">
        <f t="shared" si="21"/>
        <v>0</v>
      </c>
      <c r="K59" s="86">
        <f t="shared" si="21"/>
        <v>0</v>
      </c>
      <c r="L59" s="86">
        <f t="shared" si="21"/>
        <v>0</v>
      </c>
      <c r="M59" s="86">
        <f t="shared" si="21"/>
        <v>0</v>
      </c>
      <c r="N59" s="86">
        <f t="shared" si="21"/>
        <v>25000</v>
      </c>
      <c r="O59" s="86">
        <f t="shared" si="21"/>
        <v>13000</v>
      </c>
      <c r="P59" s="86">
        <f t="shared" si="21"/>
        <v>45000</v>
      </c>
      <c r="Q59" s="86">
        <f t="shared" si="21"/>
        <v>0</v>
      </c>
      <c r="R59" s="87">
        <f t="shared" si="10"/>
        <v>139300</v>
      </c>
      <c r="S59" s="19">
        <v>106923</v>
      </c>
      <c r="T59" s="19">
        <v>115000</v>
      </c>
      <c r="U59" s="8">
        <v>162107</v>
      </c>
      <c r="V59" s="68">
        <f>R59/U59-1</f>
        <v>-0.14069102506369247</v>
      </c>
    </row>
    <row r="60" spans="1:23" x14ac:dyDescent="0.3">
      <c r="A60" s="29" t="s">
        <v>52</v>
      </c>
      <c r="B60" s="29"/>
      <c r="C60" s="14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>
        <f t="shared" si="10"/>
        <v>0</v>
      </c>
      <c r="S60" s="19"/>
      <c r="T60" s="19"/>
      <c r="U60" s="8">
        <v>0</v>
      </c>
      <c r="V60" s="9"/>
    </row>
    <row r="61" spans="1:23" ht="15" thickBot="1" x14ac:dyDescent="0.35">
      <c r="A61" s="29"/>
      <c r="B61" s="29" t="s">
        <v>53</v>
      </c>
      <c r="C61" s="14"/>
      <c r="D61" s="52">
        <f>13500+(2565*12)</f>
        <v>44280</v>
      </c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3">
        <f t="shared" si="10"/>
        <v>44280</v>
      </c>
      <c r="S61" s="27"/>
      <c r="T61" s="27"/>
      <c r="U61" s="47">
        <v>35000</v>
      </c>
      <c r="V61" s="71"/>
    </row>
    <row r="62" spans="1:23" x14ac:dyDescent="0.3">
      <c r="A62" s="29" t="s">
        <v>54</v>
      </c>
      <c r="B62" s="29"/>
      <c r="C62" s="14"/>
      <c r="D62" s="86">
        <f>D61</f>
        <v>44280</v>
      </c>
      <c r="E62" s="86">
        <f t="shared" ref="E62:Q62" si="22">E61</f>
        <v>0</v>
      </c>
      <c r="F62" s="86">
        <f t="shared" si="22"/>
        <v>0</v>
      </c>
      <c r="G62" s="86">
        <f t="shared" si="22"/>
        <v>0</v>
      </c>
      <c r="H62" s="86">
        <f t="shared" si="22"/>
        <v>0</v>
      </c>
      <c r="I62" s="86">
        <f t="shared" si="22"/>
        <v>0</v>
      </c>
      <c r="J62" s="86">
        <f t="shared" si="22"/>
        <v>0</v>
      </c>
      <c r="K62" s="86">
        <f t="shared" si="22"/>
        <v>0</v>
      </c>
      <c r="L62" s="86">
        <f t="shared" si="22"/>
        <v>0</v>
      </c>
      <c r="M62" s="86">
        <f t="shared" si="22"/>
        <v>0</v>
      </c>
      <c r="N62" s="86">
        <f t="shared" si="22"/>
        <v>0</v>
      </c>
      <c r="O62" s="86">
        <f t="shared" si="22"/>
        <v>0</v>
      </c>
      <c r="P62" s="86">
        <f t="shared" si="22"/>
        <v>0</v>
      </c>
      <c r="Q62" s="86">
        <f t="shared" si="22"/>
        <v>0</v>
      </c>
      <c r="R62" s="87">
        <f t="shared" si="10"/>
        <v>44280</v>
      </c>
      <c r="S62" s="19">
        <v>36364</v>
      </c>
      <c r="T62" s="19">
        <v>37000</v>
      </c>
      <c r="U62" s="8">
        <v>35000</v>
      </c>
      <c r="V62" s="68">
        <f>R62/U62-1</f>
        <v>0.26514285714285712</v>
      </c>
    </row>
    <row r="63" spans="1:23" x14ac:dyDescent="0.3">
      <c r="A63" s="29" t="s">
        <v>55</v>
      </c>
      <c r="B63" s="29"/>
      <c r="C63" s="14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>
        <f t="shared" si="10"/>
        <v>0</v>
      </c>
      <c r="S63" s="19"/>
      <c r="T63" s="19"/>
      <c r="U63" s="8"/>
      <c r="V63" s="9"/>
    </row>
    <row r="64" spans="1:23" ht="15" thickBot="1" x14ac:dyDescent="0.35">
      <c r="A64" s="29"/>
      <c r="B64" s="29" t="s">
        <v>56</v>
      </c>
      <c r="C64" s="14"/>
      <c r="D64" s="93">
        <v>0</v>
      </c>
      <c r="E64" s="31"/>
      <c r="F64" s="31"/>
      <c r="G64" s="31"/>
      <c r="H64" s="31"/>
      <c r="I64" s="31">
        <v>57000</v>
      </c>
      <c r="J64" s="31"/>
      <c r="K64" s="31"/>
      <c r="L64" s="31"/>
      <c r="M64" s="31"/>
      <c r="N64" s="31"/>
      <c r="O64" s="31"/>
      <c r="P64" s="31"/>
      <c r="Q64" s="31"/>
      <c r="R64" s="53">
        <f t="shared" si="10"/>
        <v>57000</v>
      </c>
      <c r="S64" s="53"/>
      <c r="T64" s="53"/>
      <c r="U64" s="48">
        <v>35500</v>
      </c>
      <c r="V64" s="71"/>
      <c r="W64" t="s">
        <v>142</v>
      </c>
    </row>
    <row r="65" spans="1:23" x14ac:dyDescent="0.3">
      <c r="A65" s="29" t="s">
        <v>57</v>
      </c>
      <c r="B65" s="29"/>
      <c r="C65" s="14"/>
      <c r="D65" s="86">
        <f>D64</f>
        <v>0</v>
      </c>
      <c r="E65" s="86">
        <f t="shared" ref="E65:Q65" si="23">E64</f>
        <v>0</v>
      </c>
      <c r="F65" s="86">
        <f t="shared" si="23"/>
        <v>0</v>
      </c>
      <c r="G65" s="86">
        <f t="shared" si="23"/>
        <v>0</v>
      </c>
      <c r="H65" s="86">
        <f t="shared" si="23"/>
        <v>0</v>
      </c>
      <c r="I65" s="86">
        <f t="shared" si="23"/>
        <v>57000</v>
      </c>
      <c r="J65" s="86">
        <f t="shared" si="23"/>
        <v>0</v>
      </c>
      <c r="K65" s="86">
        <f t="shared" si="23"/>
        <v>0</v>
      </c>
      <c r="L65" s="86">
        <f t="shared" si="23"/>
        <v>0</v>
      </c>
      <c r="M65" s="86">
        <f t="shared" si="23"/>
        <v>0</v>
      </c>
      <c r="N65" s="86">
        <f t="shared" si="23"/>
        <v>0</v>
      </c>
      <c r="O65" s="86">
        <f t="shared" si="23"/>
        <v>0</v>
      </c>
      <c r="P65" s="86">
        <f t="shared" si="23"/>
        <v>0</v>
      </c>
      <c r="Q65" s="86">
        <f t="shared" si="23"/>
        <v>0</v>
      </c>
      <c r="R65" s="87">
        <f t="shared" si="10"/>
        <v>57000</v>
      </c>
      <c r="S65" s="19">
        <v>35572</v>
      </c>
      <c r="T65" s="19">
        <v>35572</v>
      </c>
      <c r="U65" s="8">
        <v>35500</v>
      </c>
      <c r="V65" s="68">
        <f>R65/U65-1</f>
        <v>0.60563380281690149</v>
      </c>
    </row>
    <row r="66" spans="1:23" x14ac:dyDescent="0.3">
      <c r="A66" s="29" t="s">
        <v>108</v>
      </c>
      <c r="B66" s="29"/>
      <c r="C66" s="14"/>
      <c r="D66" s="86">
        <v>60000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7">
        <f t="shared" si="10"/>
        <v>60000</v>
      </c>
      <c r="S66" s="19"/>
      <c r="T66" s="19"/>
      <c r="U66" s="8">
        <v>30000</v>
      </c>
      <c r="V66" s="9"/>
      <c r="W66" t="s">
        <v>143</v>
      </c>
    </row>
    <row r="67" spans="1:23" x14ac:dyDescent="0.3">
      <c r="A67" s="29" t="s">
        <v>58</v>
      </c>
      <c r="B67" s="29"/>
      <c r="C67" s="14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>
        <f t="shared" si="10"/>
        <v>0</v>
      </c>
      <c r="S67" s="19"/>
      <c r="T67" s="19"/>
      <c r="U67" s="8">
        <v>0</v>
      </c>
      <c r="V67" s="9"/>
    </row>
    <row r="68" spans="1:23" x14ac:dyDescent="0.3">
      <c r="A68" s="29"/>
      <c r="B68" s="29" t="s">
        <v>59</v>
      </c>
      <c r="C68" s="14"/>
      <c r="D68" s="18">
        <f>(3902*5)+(4058*7)+3000</f>
        <v>50916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9">
        <f t="shared" si="10"/>
        <v>50916</v>
      </c>
      <c r="S68" s="19"/>
      <c r="T68" s="19"/>
      <c r="U68" s="8">
        <v>96000</v>
      </c>
      <c r="V68" s="9"/>
    </row>
    <row r="69" spans="1:23" x14ac:dyDescent="0.3">
      <c r="A69" s="29"/>
      <c r="B69" s="29" t="s">
        <v>60</v>
      </c>
      <c r="C69" s="14"/>
      <c r="D69" s="18">
        <v>25000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9">
        <f t="shared" si="10"/>
        <v>25000</v>
      </c>
      <c r="S69" s="19"/>
      <c r="T69" s="19"/>
      <c r="U69" s="8">
        <v>0</v>
      </c>
      <c r="V69" s="9"/>
    </row>
    <row r="70" spans="1:23" x14ac:dyDescent="0.3">
      <c r="A70" s="29"/>
      <c r="B70" s="29" t="s">
        <v>61</v>
      </c>
      <c r="C70" s="14"/>
      <c r="D70" s="18">
        <f>66.42*12</f>
        <v>797.04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>
        <f t="shared" si="10"/>
        <v>797.04</v>
      </c>
      <c r="S70" s="19"/>
      <c r="T70" s="19"/>
      <c r="U70" s="8">
        <v>0</v>
      </c>
      <c r="V70" s="9"/>
    </row>
    <row r="71" spans="1:23" x14ac:dyDescent="0.3">
      <c r="A71" s="29"/>
      <c r="B71" s="29" t="s">
        <v>62</v>
      </c>
      <c r="C71" s="14"/>
      <c r="D71" s="18">
        <f>(260*12)+(325*12)</f>
        <v>7020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>
        <f t="shared" si="10"/>
        <v>7020</v>
      </c>
      <c r="S71" s="19"/>
      <c r="T71" s="19"/>
      <c r="U71" s="8">
        <v>0</v>
      </c>
      <c r="V71" s="9"/>
    </row>
    <row r="72" spans="1:23" x14ac:dyDescent="0.3">
      <c r="A72" s="29"/>
      <c r="B72" s="29" t="s">
        <v>63</v>
      </c>
      <c r="C72" s="14"/>
      <c r="D72" s="18">
        <v>7500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>
        <f t="shared" si="10"/>
        <v>7500</v>
      </c>
      <c r="S72" s="19"/>
      <c r="T72" s="19"/>
      <c r="U72" s="8">
        <v>0</v>
      </c>
      <c r="V72" s="9"/>
    </row>
    <row r="73" spans="1:23" ht="15" thickBot="1" x14ac:dyDescent="0.35">
      <c r="A73" s="29"/>
      <c r="B73" s="29" t="s">
        <v>64</v>
      </c>
      <c r="C73" s="14"/>
      <c r="D73" s="31">
        <f>(268.7*12)+(329.74*12)</f>
        <v>7181.28</v>
      </c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53">
        <f t="shared" si="10"/>
        <v>7181.28</v>
      </c>
      <c r="S73" s="53"/>
      <c r="T73" s="53"/>
      <c r="U73" s="48">
        <v>0</v>
      </c>
      <c r="V73" s="71"/>
    </row>
    <row r="74" spans="1:23" x14ac:dyDescent="0.3">
      <c r="A74" s="29" t="s">
        <v>65</v>
      </c>
      <c r="B74" s="29"/>
      <c r="C74" s="14"/>
      <c r="D74" s="86">
        <f>SUM(D68:D73)</f>
        <v>98414.319999999992</v>
      </c>
      <c r="E74" s="86">
        <f t="shared" ref="E74:Q74" si="24">SUM(E68:E73)</f>
        <v>0</v>
      </c>
      <c r="F74" s="86">
        <f t="shared" si="24"/>
        <v>0</v>
      </c>
      <c r="G74" s="86">
        <f t="shared" si="24"/>
        <v>0</v>
      </c>
      <c r="H74" s="86">
        <f t="shared" si="24"/>
        <v>0</v>
      </c>
      <c r="I74" s="86">
        <f t="shared" si="24"/>
        <v>0</v>
      </c>
      <c r="J74" s="86">
        <f t="shared" si="24"/>
        <v>0</v>
      </c>
      <c r="K74" s="86">
        <f t="shared" si="24"/>
        <v>0</v>
      </c>
      <c r="L74" s="86">
        <f t="shared" si="24"/>
        <v>0</v>
      </c>
      <c r="M74" s="86">
        <f t="shared" si="24"/>
        <v>0</v>
      </c>
      <c r="N74" s="86">
        <f t="shared" si="24"/>
        <v>0</v>
      </c>
      <c r="O74" s="86">
        <f t="shared" si="24"/>
        <v>0</v>
      </c>
      <c r="P74" s="86">
        <f t="shared" si="24"/>
        <v>0</v>
      </c>
      <c r="Q74" s="86">
        <f t="shared" si="24"/>
        <v>0</v>
      </c>
      <c r="R74" s="87">
        <f t="shared" si="10"/>
        <v>98414.319999999992</v>
      </c>
      <c r="S74" s="19">
        <v>65176</v>
      </c>
      <c r="T74" s="19">
        <v>90000</v>
      </c>
      <c r="U74" s="8">
        <v>96000</v>
      </c>
      <c r="V74" s="68">
        <f>R74/U74-1</f>
        <v>2.5149166666666556E-2</v>
      </c>
    </row>
    <row r="75" spans="1:23" x14ac:dyDescent="0.3">
      <c r="A75" s="29" t="s">
        <v>66</v>
      </c>
      <c r="B75" s="29"/>
      <c r="C75" s="14"/>
      <c r="D75" s="18"/>
      <c r="E75" s="18"/>
      <c r="F75" s="18"/>
      <c r="G75" s="18"/>
      <c r="H75" s="18"/>
      <c r="I75" s="24"/>
      <c r="J75" s="18"/>
      <c r="K75" s="18"/>
      <c r="L75" s="18"/>
      <c r="M75" s="18"/>
      <c r="N75" s="18"/>
      <c r="O75" s="18"/>
      <c r="P75" s="18"/>
      <c r="Q75" s="18"/>
      <c r="R75" s="19">
        <f t="shared" si="10"/>
        <v>0</v>
      </c>
      <c r="S75" s="19"/>
      <c r="T75" s="19"/>
      <c r="U75" s="8"/>
      <c r="V75" s="9"/>
    </row>
    <row r="76" spans="1:23" x14ac:dyDescent="0.3">
      <c r="A76" s="29"/>
      <c r="B76" s="29" t="s">
        <v>67</v>
      </c>
      <c r="C76" s="14"/>
      <c r="D76" s="18">
        <v>5000</v>
      </c>
      <c r="E76" s="18"/>
      <c r="F76" s="18"/>
      <c r="G76" s="18"/>
      <c r="H76" s="18"/>
      <c r="I76" s="24"/>
      <c r="J76" s="18">
        <v>250</v>
      </c>
      <c r="K76" s="18"/>
      <c r="L76" s="18"/>
      <c r="M76" s="18">
        <v>336</v>
      </c>
      <c r="N76" s="18">
        <v>250</v>
      </c>
      <c r="O76" s="18"/>
      <c r="P76" s="18"/>
      <c r="Q76" s="18"/>
      <c r="R76" s="19">
        <f t="shared" si="10"/>
        <v>5836</v>
      </c>
      <c r="S76" s="19"/>
      <c r="T76" s="19"/>
      <c r="U76" s="8">
        <v>3350</v>
      </c>
      <c r="V76" s="9"/>
      <c r="W76" t="s">
        <v>145</v>
      </c>
    </row>
    <row r="77" spans="1:23" x14ac:dyDescent="0.3">
      <c r="A77" s="29"/>
      <c r="B77" s="29" t="s">
        <v>68</v>
      </c>
      <c r="C77" s="14"/>
      <c r="D77" s="18">
        <v>5000</v>
      </c>
      <c r="E77" s="18"/>
      <c r="F77" s="18"/>
      <c r="G77" s="18"/>
      <c r="H77" s="18"/>
      <c r="I77" s="24"/>
      <c r="J77" s="18"/>
      <c r="K77" s="18"/>
      <c r="L77" s="18"/>
      <c r="M77" s="18"/>
      <c r="N77" s="18"/>
      <c r="O77" s="18"/>
      <c r="P77" s="18"/>
      <c r="Q77" s="18"/>
      <c r="R77" s="19">
        <f t="shared" si="10"/>
        <v>5000</v>
      </c>
      <c r="S77" s="19"/>
      <c r="T77" s="19"/>
      <c r="U77" s="8">
        <v>250</v>
      </c>
      <c r="V77" s="9"/>
      <c r="W77" t="s">
        <v>144</v>
      </c>
    </row>
    <row r="78" spans="1:23" ht="15" thickBot="1" x14ac:dyDescent="0.35">
      <c r="A78" s="29"/>
      <c r="B78" s="29" t="s">
        <v>69</v>
      </c>
      <c r="C78" s="14"/>
      <c r="D78" s="31">
        <v>2500</v>
      </c>
      <c r="E78" s="31"/>
      <c r="F78" s="31"/>
      <c r="G78" s="31"/>
      <c r="H78" s="31"/>
      <c r="I78" s="32"/>
      <c r="J78" s="31"/>
      <c r="K78" s="31"/>
      <c r="L78" s="31"/>
      <c r="M78" s="31"/>
      <c r="N78" s="31"/>
      <c r="O78" s="31"/>
      <c r="P78" s="31"/>
      <c r="Q78" s="31"/>
      <c r="R78" s="53">
        <f t="shared" si="10"/>
        <v>2500</v>
      </c>
      <c r="S78" s="53"/>
      <c r="T78" s="53"/>
      <c r="U78" s="48">
        <v>1500</v>
      </c>
      <c r="V78" s="71"/>
    </row>
    <row r="79" spans="1:23" x14ac:dyDescent="0.3">
      <c r="A79" s="29" t="s">
        <v>70</v>
      </c>
      <c r="B79" s="29"/>
      <c r="C79" s="14"/>
      <c r="D79" s="86">
        <f t="shared" ref="D79:Q79" si="25">SUM(D76:D78)</f>
        <v>12500</v>
      </c>
      <c r="E79" s="86">
        <f t="shared" si="25"/>
        <v>0</v>
      </c>
      <c r="F79" s="86">
        <f t="shared" si="25"/>
        <v>0</v>
      </c>
      <c r="G79" s="86">
        <f t="shared" si="25"/>
        <v>0</v>
      </c>
      <c r="H79" s="86">
        <f t="shared" si="25"/>
        <v>0</v>
      </c>
      <c r="I79" s="86">
        <f t="shared" si="25"/>
        <v>0</v>
      </c>
      <c r="J79" s="86">
        <f t="shared" si="25"/>
        <v>250</v>
      </c>
      <c r="K79" s="86">
        <f t="shared" si="25"/>
        <v>0</v>
      </c>
      <c r="L79" s="86">
        <f t="shared" si="25"/>
        <v>0</v>
      </c>
      <c r="M79" s="86">
        <f t="shared" si="25"/>
        <v>336</v>
      </c>
      <c r="N79" s="86">
        <f t="shared" si="25"/>
        <v>250</v>
      </c>
      <c r="O79" s="86">
        <f t="shared" si="25"/>
        <v>0</v>
      </c>
      <c r="P79" s="86">
        <f t="shared" si="25"/>
        <v>0</v>
      </c>
      <c r="Q79" s="86">
        <f t="shared" si="25"/>
        <v>0</v>
      </c>
      <c r="R79" s="87">
        <f t="shared" si="10"/>
        <v>13336</v>
      </c>
      <c r="S79" s="19">
        <v>3394</v>
      </c>
      <c r="T79" s="19">
        <f>S79/9*12</f>
        <v>4525.333333333333</v>
      </c>
      <c r="U79" s="8">
        <v>5100</v>
      </c>
      <c r="V79" s="68">
        <f>R79/U79-1</f>
        <v>1.6149019607843136</v>
      </c>
    </row>
    <row r="80" spans="1:23" x14ac:dyDescent="0.3">
      <c r="A80" s="29" t="s">
        <v>71</v>
      </c>
      <c r="B80" s="29"/>
      <c r="C80" s="14"/>
      <c r="D80" s="18"/>
      <c r="E80" s="18"/>
      <c r="F80" s="18"/>
      <c r="G80" s="18"/>
      <c r="H80" s="18"/>
      <c r="I80" s="24"/>
      <c r="J80" s="18"/>
      <c r="K80" s="18"/>
      <c r="L80" s="18"/>
      <c r="M80" s="18"/>
      <c r="N80" s="18"/>
      <c r="O80" s="18"/>
      <c r="P80" s="18"/>
      <c r="Q80" s="18"/>
      <c r="R80" s="19">
        <f t="shared" si="10"/>
        <v>0</v>
      </c>
      <c r="S80" s="19"/>
      <c r="T80" s="19"/>
      <c r="U80" s="8"/>
      <c r="V80" s="9"/>
    </row>
    <row r="81" spans="1:23" x14ac:dyDescent="0.3">
      <c r="A81" s="29"/>
      <c r="B81" s="29" t="s">
        <v>72</v>
      </c>
      <c r="C81" s="14"/>
      <c r="D81" s="18"/>
      <c r="E81" s="18"/>
      <c r="F81" s="18">
        <v>7500</v>
      </c>
      <c r="G81" s="18">
        <v>2500</v>
      </c>
      <c r="H81" s="18">
        <v>5000</v>
      </c>
      <c r="I81" s="24">
        <v>7500</v>
      </c>
      <c r="J81" s="18">
        <v>0</v>
      </c>
      <c r="K81" s="18">
        <v>10000</v>
      </c>
      <c r="L81" s="92">
        <f>99535+44940+91809</f>
        <v>236284</v>
      </c>
      <c r="M81" s="18">
        <v>2500</v>
      </c>
      <c r="N81" s="18">
        <v>0</v>
      </c>
      <c r="O81" s="18">
        <v>1500</v>
      </c>
      <c r="P81" s="18">
        <v>6320</v>
      </c>
      <c r="Q81" s="18"/>
      <c r="R81" s="19">
        <f t="shared" si="10"/>
        <v>279104</v>
      </c>
      <c r="S81" s="19"/>
      <c r="T81" s="19"/>
      <c r="U81" s="8">
        <v>184258</v>
      </c>
      <c r="V81" s="9"/>
    </row>
    <row r="82" spans="1:23" ht="15" thickBot="1" x14ac:dyDescent="0.35">
      <c r="A82" s="29"/>
      <c r="B82" s="29" t="s">
        <v>73</v>
      </c>
      <c r="C82" s="14"/>
      <c r="D82" s="31"/>
      <c r="E82" s="31"/>
      <c r="F82" s="31">
        <v>25000</v>
      </c>
      <c r="G82" s="31"/>
      <c r="H82" s="31">
        <v>10000</v>
      </c>
      <c r="I82" s="32">
        <v>33000</v>
      </c>
      <c r="J82" s="31">
        <v>500</v>
      </c>
      <c r="K82" s="31"/>
      <c r="L82" s="31"/>
      <c r="M82" s="31">
        <v>10000</v>
      </c>
      <c r="N82" s="31">
        <v>1000</v>
      </c>
      <c r="O82" s="31">
        <v>0</v>
      </c>
      <c r="P82" s="31">
        <v>6000</v>
      </c>
      <c r="Q82" s="31"/>
      <c r="R82" s="53">
        <f t="shared" si="10"/>
        <v>85500</v>
      </c>
      <c r="S82" s="53"/>
      <c r="T82" s="53"/>
      <c r="U82" s="48">
        <v>81492</v>
      </c>
      <c r="V82" s="71"/>
    </row>
    <row r="83" spans="1:23" x14ac:dyDescent="0.3">
      <c r="A83" s="29" t="s">
        <v>74</v>
      </c>
      <c r="B83" s="29"/>
      <c r="C83" s="14"/>
      <c r="D83" s="86">
        <f t="shared" ref="D83:Q83" si="26">SUM(D81:D82)</f>
        <v>0</v>
      </c>
      <c r="E83" s="86">
        <f t="shared" si="26"/>
        <v>0</v>
      </c>
      <c r="F83" s="86">
        <f t="shared" si="26"/>
        <v>32500</v>
      </c>
      <c r="G83" s="86">
        <f t="shared" si="26"/>
        <v>2500</v>
      </c>
      <c r="H83" s="86">
        <f t="shared" si="26"/>
        <v>15000</v>
      </c>
      <c r="I83" s="86">
        <f t="shared" si="26"/>
        <v>40500</v>
      </c>
      <c r="J83" s="86">
        <f t="shared" si="26"/>
        <v>500</v>
      </c>
      <c r="K83" s="86">
        <f t="shared" si="26"/>
        <v>10000</v>
      </c>
      <c r="L83" s="86">
        <f t="shared" si="26"/>
        <v>236284</v>
      </c>
      <c r="M83" s="86">
        <f t="shared" si="26"/>
        <v>12500</v>
      </c>
      <c r="N83" s="86">
        <f t="shared" si="26"/>
        <v>1000</v>
      </c>
      <c r="O83" s="86">
        <f t="shared" si="26"/>
        <v>1500</v>
      </c>
      <c r="P83" s="86">
        <f t="shared" si="26"/>
        <v>12320</v>
      </c>
      <c r="Q83" s="86">
        <f t="shared" si="26"/>
        <v>0</v>
      </c>
      <c r="R83" s="87">
        <f t="shared" si="10"/>
        <v>364604</v>
      </c>
      <c r="S83" s="28">
        <v>271397</v>
      </c>
      <c r="T83" s="19">
        <v>295000</v>
      </c>
      <c r="U83" s="8">
        <v>265750</v>
      </c>
      <c r="V83" s="68">
        <f>R83/U83-1</f>
        <v>0.37198118532455315</v>
      </c>
      <c r="W83" t="s">
        <v>146</v>
      </c>
    </row>
    <row r="84" spans="1:23" x14ac:dyDescent="0.3">
      <c r="A84" s="29" t="s">
        <v>75</v>
      </c>
      <c r="B84" s="29"/>
      <c r="C84" s="14"/>
      <c r="D84" s="18"/>
      <c r="E84" s="18">
        <v>4000</v>
      </c>
      <c r="F84" s="18"/>
      <c r="G84" s="18"/>
      <c r="H84" s="18"/>
      <c r="I84" s="24"/>
      <c r="J84" s="18">
        <v>500</v>
      </c>
      <c r="K84" s="18">
        <v>3273</v>
      </c>
      <c r="L84" s="18"/>
      <c r="M84" s="18"/>
      <c r="N84" s="18"/>
      <c r="O84" s="18"/>
      <c r="P84" s="18"/>
      <c r="Q84" s="18"/>
      <c r="R84" s="19">
        <f t="shared" si="10"/>
        <v>7773</v>
      </c>
      <c r="S84" s="19">
        <v>4962</v>
      </c>
      <c r="T84" s="19">
        <f>S84/9*12</f>
        <v>6616</v>
      </c>
      <c r="U84" s="8">
        <v>15973</v>
      </c>
      <c r="V84" s="9"/>
    </row>
    <row r="85" spans="1:23" x14ac:dyDescent="0.3">
      <c r="A85" s="29" t="s">
        <v>76</v>
      </c>
      <c r="B85" s="29"/>
      <c r="C85" s="14"/>
      <c r="D85" s="18"/>
      <c r="E85" s="18"/>
      <c r="F85" s="18"/>
      <c r="G85" s="18"/>
      <c r="H85" s="18"/>
      <c r="I85" s="24"/>
      <c r="J85" s="18"/>
      <c r="K85" s="18"/>
      <c r="L85" s="18"/>
      <c r="M85" s="18"/>
      <c r="N85" s="18"/>
      <c r="O85" s="18"/>
      <c r="P85" s="18"/>
      <c r="Q85" s="18"/>
      <c r="R85" s="19">
        <f t="shared" si="10"/>
        <v>0</v>
      </c>
      <c r="S85" s="19"/>
      <c r="T85" s="19"/>
      <c r="U85" s="8">
        <v>0</v>
      </c>
      <c r="V85" s="9"/>
    </row>
    <row r="86" spans="1:23" ht="15" thickBot="1" x14ac:dyDescent="0.35">
      <c r="A86" s="29"/>
      <c r="B86" s="29" t="s">
        <v>77</v>
      </c>
      <c r="C86" s="14"/>
      <c r="D86" s="31">
        <v>5000</v>
      </c>
      <c r="E86" s="31"/>
      <c r="F86" s="31"/>
      <c r="G86" s="31"/>
      <c r="H86" s="31"/>
      <c r="I86" s="32"/>
      <c r="J86" s="31"/>
      <c r="K86" s="31"/>
      <c r="L86" s="31"/>
      <c r="M86" s="31"/>
      <c r="N86" s="31"/>
      <c r="O86" s="31"/>
      <c r="P86" s="31"/>
      <c r="Q86" s="31"/>
      <c r="R86" s="53">
        <f t="shared" si="10"/>
        <v>5000</v>
      </c>
      <c r="S86" s="53"/>
      <c r="T86" s="53"/>
      <c r="U86" s="48">
        <v>5000</v>
      </c>
      <c r="V86" s="71"/>
    </row>
    <row r="87" spans="1:23" x14ac:dyDescent="0.3">
      <c r="A87" s="29" t="s">
        <v>78</v>
      </c>
      <c r="B87" s="29"/>
      <c r="C87" s="14"/>
      <c r="D87" s="86">
        <f>D86</f>
        <v>5000</v>
      </c>
      <c r="E87" s="86">
        <f t="shared" ref="E87:Q87" si="27">E86</f>
        <v>0</v>
      </c>
      <c r="F87" s="86">
        <f t="shared" si="27"/>
        <v>0</v>
      </c>
      <c r="G87" s="86">
        <f t="shared" si="27"/>
        <v>0</v>
      </c>
      <c r="H87" s="86">
        <f t="shared" si="27"/>
        <v>0</v>
      </c>
      <c r="I87" s="86">
        <f t="shared" si="27"/>
        <v>0</v>
      </c>
      <c r="J87" s="86">
        <f t="shared" si="27"/>
        <v>0</v>
      </c>
      <c r="K87" s="86">
        <f t="shared" si="27"/>
        <v>0</v>
      </c>
      <c r="L87" s="86">
        <f t="shared" si="27"/>
        <v>0</v>
      </c>
      <c r="M87" s="86">
        <f t="shared" si="27"/>
        <v>0</v>
      </c>
      <c r="N87" s="86">
        <f t="shared" si="27"/>
        <v>0</v>
      </c>
      <c r="O87" s="86">
        <f t="shared" si="27"/>
        <v>0</v>
      </c>
      <c r="P87" s="86">
        <f t="shared" si="27"/>
        <v>0</v>
      </c>
      <c r="Q87" s="86">
        <f t="shared" si="27"/>
        <v>0</v>
      </c>
      <c r="R87" s="87">
        <f t="shared" si="10"/>
        <v>5000</v>
      </c>
      <c r="S87" s="19">
        <v>1426</v>
      </c>
      <c r="T87" s="19">
        <f>S87/9*12</f>
        <v>1901.3333333333335</v>
      </c>
      <c r="U87" s="8">
        <v>5000</v>
      </c>
      <c r="V87" s="68">
        <f>R87/U87-1</f>
        <v>0</v>
      </c>
    </row>
    <row r="88" spans="1:23" x14ac:dyDescent="0.3">
      <c r="A88" s="29" t="s">
        <v>79</v>
      </c>
      <c r="B88" s="29"/>
      <c r="C88" s="14"/>
      <c r="D88" s="18"/>
      <c r="E88" s="18"/>
      <c r="F88" s="18"/>
      <c r="G88" s="18"/>
      <c r="H88" s="18"/>
      <c r="I88" s="24"/>
      <c r="J88" s="18"/>
      <c r="K88" s="18"/>
      <c r="L88" s="18"/>
      <c r="M88" s="18"/>
      <c r="N88" s="18"/>
      <c r="O88" s="18"/>
      <c r="P88" s="18"/>
      <c r="Q88" s="18"/>
      <c r="R88" s="19">
        <f t="shared" ref="R88:R101" si="28">SUM(D88:Q88)</f>
        <v>0</v>
      </c>
      <c r="S88" s="19"/>
      <c r="T88" s="19"/>
      <c r="U88" s="8">
        <v>0</v>
      </c>
      <c r="V88" s="9"/>
    </row>
    <row r="89" spans="1:23" x14ac:dyDescent="0.3">
      <c r="A89" s="29"/>
      <c r="B89" s="29" t="s">
        <v>80</v>
      </c>
      <c r="C89" s="14"/>
      <c r="D89" s="92">
        <v>5000</v>
      </c>
      <c r="E89" s="18">
        <v>1000</v>
      </c>
      <c r="F89" s="18"/>
      <c r="G89" s="18"/>
      <c r="H89" s="18">
        <v>2500</v>
      </c>
      <c r="I89" s="24">
        <v>500</v>
      </c>
      <c r="J89" s="18">
        <v>0</v>
      </c>
      <c r="K89" s="18">
        <v>1250</v>
      </c>
      <c r="L89" s="18"/>
      <c r="M89" s="18">
        <v>3500</v>
      </c>
      <c r="N89" s="18">
        <v>0</v>
      </c>
      <c r="O89" s="18">
        <v>0</v>
      </c>
      <c r="P89" s="18"/>
      <c r="Q89" s="18"/>
      <c r="R89" s="19">
        <f t="shared" si="28"/>
        <v>13750</v>
      </c>
      <c r="S89" s="19"/>
      <c r="T89" s="19"/>
      <c r="U89" s="8">
        <v>16012</v>
      </c>
      <c r="V89" s="9"/>
      <c r="W89" t="s">
        <v>147</v>
      </c>
    </row>
    <row r="90" spans="1:23" x14ac:dyDescent="0.3">
      <c r="A90" s="29"/>
      <c r="B90" s="29" t="s">
        <v>81</v>
      </c>
      <c r="C90" s="14"/>
      <c r="D90" s="18">
        <v>1500</v>
      </c>
      <c r="E90" s="18">
        <v>500</v>
      </c>
      <c r="F90" s="18"/>
      <c r="G90" s="18"/>
      <c r="H90" s="18">
        <v>500</v>
      </c>
      <c r="I90" s="24">
        <v>500</v>
      </c>
      <c r="J90" s="18">
        <v>150</v>
      </c>
      <c r="K90" s="18">
        <v>498</v>
      </c>
      <c r="L90" s="18"/>
      <c r="M90" s="18"/>
      <c r="N90" s="18">
        <v>500</v>
      </c>
      <c r="O90" s="18"/>
      <c r="P90" s="18"/>
      <c r="Q90" s="18"/>
      <c r="R90" s="19">
        <f t="shared" si="28"/>
        <v>4148</v>
      </c>
      <c r="S90" s="19"/>
      <c r="T90" s="19"/>
      <c r="U90" s="8">
        <v>4260</v>
      </c>
      <c r="V90" s="9"/>
    </row>
    <row r="91" spans="1:23" ht="15" thickBot="1" x14ac:dyDescent="0.35">
      <c r="A91" s="29"/>
      <c r="B91" s="29" t="s">
        <v>82</v>
      </c>
      <c r="C91" s="14"/>
      <c r="D91" s="31"/>
      <c r="E91" s="31"/>
      <c r="F91" s="31"/>
      <c r="G91" s="31"/>
      <c r="H91" s="31"/>
      <c r="I91" s="32"/>
      <c r="J91" s="31"/>
      <c r="K91" s="31"/>
      <c r="L91" s="31"/>
      <c r="M91" s="31"/>
      <c r="N91" s="31"/>
      <c r="O91" s="31"/>
      <c r="P91" s="31"/>
      <c r="Q91" s="31"/>
      <c r="R91" s="53">
        <f t="shared" si="28"/>
        <v>0</v>
      </c>
      <c r="S91" s="53"/>
      <c r="T91" s="53"/>
      <c r="U91" s="48">
        <v>0</v>
      </c>
      <c r="V91" s="71"/>
    </row>
    <row r="92" spans="1:23" x14ac:dyDescent="0.3">
      <c r="A92" s="29" t="s">
        <v>83</v>
      </c>
      <c r="B92" s="29"/>
      <c r="C92" s="14"/>
      <c r="D92" s="86">
        <f t="shared" ref="D92:Q92" si="29">SUM(D89:D91)</f>
        <v>6500</v>
      </c>
      <c r="E92" s="86">
        <f t="shared" si="29"/>
        <v>1500</v>
      </c>
      <c r="F92" s="86">
        <f t="shared" si="29"/>
        <v>0</v>
      </c>
      <c r="G92" s="86">
        <f t="shared" si="29"/>
        <v>0</v>
      </c>
      <c r="H92" s="86">
        <f t="shared" si="29"/>
        <v>3000</v>
      </c>
      <c r="I92" s="86">
        <f t="shared" si="29"/>
        <v>1000</v>
      </c>
      <c r="J92" s="86">
        <f t="shared" si="29"/>
        <v>150</v>
      </c>
      <c r="K92" s="86">
        <f t="shared" si="29"/>
        <v>1748</v>
      </c>
      <c r="L92" s="86">
        <f t="shared" si="29"/>
        <v>0</v>
      </c>
      <c r="M92" s="86">
        <f t="shared" si="29"/>
        <v>3500</v>
      </c>
      <c r="N92" s="86">
        <f t="shared" si="29"/>
        <v>500</v>
      </c>
      <c r="O92" s="86">
        <f t="shared" si="29"/>
        <v>0</v>
      </c>
      <c r="P92" s="86">
        <f t="shared" si="29"/>
        <v>0</v>
      </c>
      <c r="Q92" s="86">
        <f t="shared" si="29"/>
        <v>0</v>
      </c>
      <c r="R92" s="87">
        <f t="shared" si="28"/>
        <v>17898</v>
      </c>
      <c r="S92" s="19">
        <v>4095</v>
      </c>
      <c r="T92" s="19">
        <f>S92/9*12</f>
        <v>5460</v>
      </c>
      <c r="U92" s="8">
        <v>20272</v>
      </c>
      <c r="V92" s="68">
        <f>R92/U92-1</f>
        <v>-0.11710734017363855</v>
      </c>
    </row>
    <row r="93" spans="1:23" x14ac:dyDescent="0.3">
      <c r="A93" s="29" t="s">
        <v>84</v>
      </c>
      <c r="B93" s="29"/>
      <c r="C93" s="14"/>
      <c r="D93" s="18"/>
      <c r="E93" s="18"/>
      <c r="F93" s="18"/>
      <c r="G93" s="18"/>
      <c r="H93" s="18"/>
      <c r="I93" s="24"/>
      <c r="J93" s="18"/>
      <c r="K93" s="18"/>
      <c r="L93" s="18"/>
      <c r="M93" s="18"/>
      <c r="N93" s="18"/>
      <c r="O93" s="18"/>
      <c r="P93" s="18"/>
      <c r="Q93" s="18"/>
      <c r="R93" s="19">
        <f t="shared" si="28"/>
        <v>0</v>
      </c>
      <c r="S93" s="19"/>
      <c r="T93" s="19"/>
      <c r="U93" s="8">
        <v>0</v>
      </c>
      <c r="V93" s="9"/>
    </row>
    <row r="94" spans="1:23" x14ac:dyDescent="0.3">
      <c r="A94" s="29"/>
      <c r="B94" s="29" t="s">
        <v>85</v>
      </c>
      <c r="C94" s="14"/>
      <c r="D94" s="92">
        <v>0</v>
      </c>
      <c r="E94" s="24"/>
      <c r="F94" s="24"/>
      <c r="G94" s="24"/>
      <c r="H94" s="24">
        <v>1085</v>
      </c>
      <c r="I94" s="24"/>
      <c r="J94" s="24"/>
      <c r="K94" s="24"/>
      <c r="L94" s="24"/>
      <c r="M94" s="24"/>
      <c r="N94" s="24">
        <v>109</v>
      </c>
      <c r="O94" s="24">
        <v>0</v>
      </c>
      <c r="P94" s="24"/>
      <c r="Q94" s="18"/>
      <c r="R94" s="19">
        <f t="shared" si="28"/>
        <v>1194</v>
      </c>
      <c r="S94" s="19"/>
      <c r="T94" s="19"/>
      <c r="U94" s="8">
        <v>0</v>
      </c>
      <c r="V94" s="9"/>
    </row>
    <row r="95" spans="1:23" x14ac:dyDescent="0.3">
      <c r="A95" s="29"/>
      <c r="B95" s="29" t="s">
        <v>86</v>
      </c>
      <c r="C95" s="1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8"/>
      <c r="R95" s="19">
        <f t="shared" si="28"/>
        <v>0</v>
      </c>
      <c r="S95" s="19"/>
      <c r="T95" s="19"/>
      <c r="U95" s="8">
        <v>0</v>
      </c>
      <c r="V95" s="9"/>
    </row>
    <row r="96" spans="1:23" ht="15" thickBot="1" x14ac:dyDescent="0.35">
      <c r="A96" s="29"/>
      <c r="B96" s="29" t="s">
        <v>87</v>
      </c>
      <c r="C96" s="14"/>
      <c r="D96" s="32">
        <v>3500</v>
      </c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1"/>
      <c r="R96" s="53">
        <f t="shared" si="28"/>
        <v>3500</v>
      </c>
      <c r="S96" s="53"/>
      <c r="T96" s="53"/>
      <c r="U96" s="48">
        <v>3500</v>
      </c>
      <c r="V96" s="71"/>
    </row>
    <row r="97" spans="1:23" x14ac:dyDescent="0.3">
      <c r="A97" s="29" t="s">
        <v>88</v>
      </c>
      <c r="B97" s="29"/>
      <c r="C97" s="14"/>
      <c r="D97" s="86">
        <f>SUM(D94:D96)</f>
        <v>3500</v>
      </c>
      <c r="E97" s="86">
        <f t="shared" ref="E97:Q97" si="30">SUM(E94:E96)</f>
        <v>0</v>
      </c>
      <c r="F97" s="86">
        <f t="shared" si="30"/>
        <v>0</v>
      </c>
      <c r="G97" s="86">
        <f t="shared" si="30"/>
        <v>0</v>
      </c>
      <c r="H97" s="86">
        <f t="shared" si="30"/>
        <v>1085</v>
      </c>
      <c r="I97" s="86">
        <f t="shared" si="30"/>
        <v>0</v>
      </c>
      <c r="J97" s="86">
        <f t="shared" si="30"/>
        <v>0</v>
      </c>
      <c r="K97" s="86">
        <f t="shared" si="30"/>
        <v>0</v>
      </c>
      <c r="L97" s="86">
        <f t="shared" si="30"/>
        <v>0</v>
      </c>
      <c r="M97" s="86">
        <f t="shared" si="30"/>
        <v>0</v>
      </c>
      <c r="N97" s="86">
        <f t="shared" si="30"/>
        <v>109</v>
      </c>
      <c r="O97" s="86">
        <f t="shared" si="30"/>
        <v>0</v>
      </c>
      <c r="P97" s="86">
        <f t="shared" si="30"/>
        <v>0</v>
      </c>
      <c r="Q97" s="86">
        <f t="shared" si="30"/>
        <v>0</v>
      </c>
      <c r="R97" s="87">
        <f t="shared" si="28"/>
        <v>4694</v>
      </c>
      <c r="S97" s="19">
        <v>4235</v>
      </c>
      <c r="T97" s="19">
        <f>S97/9*12</f>
        <v>5646.6666666666661</v>
      </c>
      <c r="U97" s="8">
        <v>3500</v>
      </c>
      <c r="V97" s="68">
        <f>R97/U97-1</f>
        <v>0.34114285714285719</v>
      </c>
    </row>
    <row r="98" spans="1:23" hidden="1" x14ac:dyDescent="0.3">
      <c r="A98" s="29" t="s">
        <v>89</v>
      </c>
      <c r="B98" s="29"/>
      <c r="C98" s="14"/>
      <c r="D98" s="18">
        <f>-SUM(H98:Q98)</f>
        <v>-120261.16875</v>
      </c>
      <c r="E98" s="18"/>
      <c r="F98" s="18"/>
      <c r="G98" s="18"/>
      <c r="H98" s="18">
        <f>0.1*H33</f>
        <v>15000</v>
      </c>
      <c r="I98" s="24">
        <v>30427</v>
      </c>
      <c r="J98" s="18">
        <v>2960</v>
      </c>
      <c r="K98" s="18">
        <f>0.1*K33</f>
        <v>7150</v>
      </c>
      <c r="L98" s="18">
        <v>12000</v>
      </c>
      <c r="M98" s="18">
        <f>0.075*M33+874</f>
        <v>5491</v>
      </c>
      <c r="N98" s="18">
        <f>0.1*N33</f>
        <v>3839</v>
      </c>
      <c r="O98" s="18">
        <f>0.1*O33</f>
        <v>3700</v>
      </c>
      <c r="P98" s="18"/>
      <c r="Q98" s="18">
        <f>Q33-Q44</f>
        <v>39694.168749999997</v>
      </c>
      <c r="R98" s="19">
        <f t="shared" si="28"/>
        <v>0</v>
      </c>
      <c r="S98" s="28"/>
      <c r="T98" s="28"/>
      <c r="U98" s="8">
        <v>0</v>
      </c>
      <c r="V98" s="9"/>
    </row>
    <row r="99" spans="1:23" ht="15" thickBot="1" x14ac:dyDescent="0.35">
      <c r="A99" s="29" t="s">
        <v>90</v>
      </c>
      <c r="B99" s="29"/>
      <c r="C99" s="14"/>
      <c r="D99" s="25"/>
      <c r="E99" s="25"/>
      <c r="F99" s="25"/>
      <c r="G99" s="25"/>
      <c r="H99" s="25"/>
      <c r="I99" s="26"/>
      <c r="J99" s="25"/>
      <c r="K99" s="25"/>
      <c r="L99" s="25"/>
      <c r="M99" s="25"/>
      <c r="N99" s="25"/>
      <c r="O99" s="25"/>
      <c r="P99" s="25"/>
      <c r="Q99" s="25"/>
      <c r="R99" s="53">
        <f t="shared" si="28"/>
        <v>0</v>
      </c>
      <c r="S99" s="27"/>
      <c r="T99" s="27"/>
      <c r="U99" s="47">
        <v>0</v>
      </c>
      <c r="V99" s="71"/>
    </row>
    <row r="100" spans="1:23" ht="15" thickBot="1" x14ac:dyDescent="0.35">
      <c r="A100" s="229" t="s">
        <v>91</v>
      </c>
      <c r="B100" s="229"/>
      <c r="C100" s="29"/>
      <c r="D100" s="88">
        <f>D97+D92+D87+D83+D79+D74+D66+D65+D62+D59+D54+D50+D44</f>
        <v>401714.17625000002</v>
      </c>
      <c r="E100" s="88">
        <f t="shared" ref="E100:Q100" si="31">E97+E92+E87+E83+E79+E74+E66+E65+E62+E59+E54+E50+E44</f>
        <v>71930.55750000001</v>
      </c>
      <c r="F100" s="88">
        <f t="shared" si="31"/>
        <v>152496.54692499997</v>
      </c>
      <c r="G100" s="88">
        <f t="shared" si="31"/>
        <v>18369.0625</v>
      </c>
      <c r="H100" s="88">
        <f t="shared" si="31"/>
        <v>118686.30680625</v>
      </c>
      <c r="I100" s="88">
        <f t="shared" si="31"/>
        <v>324810.46562500001</v>
      </c>
      <c r="J100" s="88">
        <f t="shared" si="31"/>
        <v>27291.178124999999</v>
      </c>
      <c r="K100" s="88">
        <f t="shared" si="31"/>
        <v>64349.880825</v>
      </c>
      <c r="L100" s="88">
        <f t="shared" si="31"/>
        <v>248306.11562500001</v>
      </c>
      <c r="M100" s="88">
        <f t="shared" si="31"/>
        <v>56398.200000000004</v>
      </c>
      <c r="N100" s="88">
        <f t="shared" si="31"/>
        <v>55919.311312500002</v>
      </c>
      <c r="O100" s="88">
        <f t="shared" si="31"/>
        <v>33658.75</v>
      </c>
      <c r="P100" s="88">
        <f t="shared" si="31"/>
        <v>111571.19375000001</v>
      </c>
      <c r="Q100" s="88">
        <f t="shared" si="31"/>
        <v>36305.831250000003</v>
      </c>
      <c r="R100" s="89">
        <f t="shared" si="28"/>
        <v>1721807.5764937503</v>
      </c>
      <c r="S100" s="33">
        <f>SUM(S65:S97)+S62+S59+S54+S50+S44</f>
        <v>1188497</v>
      </c>
      <c r="T100" s="33">
        <f>SUM(T65:T97)+T62+T59+T54+T50+T44</f>
        <v>1469992</v>
      </c>
      <c r="U100" s="49">
        <v>1605997.1170312499</v>
      </c>
      <c r="V100" s="73">
        <f>R100/U100-1</f>
        <v>7.211124991094664E-2</v>
      </c>
    </row>
    <row r="101" spans="1:23" ht="15" thickBot="1" x14ac:dyDescent="0.35">
      <c r="A101" s="29" t="s">
        <v>133</v>
      </c>
      <c r="B101" s="14"/>
      <c r="C101" s="14"/>
      <c r="D101" s="79">
        <f t="shared" ref="D101:T101" si="32">D33-D100</f>
        <v>19363.823749999981</v>
      </c>
      <c r="E101" s="79">
        <f t="shared" si="32"/>
        <v>-71930.55750000001</v>
      </c>
      <c r="F101" s="79">
        <f t="shared" si="32"/>
        <v>-48496.546924999973</v>
      </c>
      <c r="G101" s="79">
        <f t="shared" si="32"/>
        <v>-16869.0625</v>
      </c>
      <c r="H101" s="79">
        <f t="shared" si="32"/>
        <v>31313.693193750005</v>
      </c>
      <c r="I101" s="79">
        <f t="shared" si="32"/>
        <v>40189.534374999988</v>
      </c>
      <c r="J101" s="79">
        <f t="shared" si="32"/>
        <v>-12291.178124999999</v>
      </c>
      <c r="K101" s="79">
        <f t="shared" si="32"/>
        <v>7150.1191749999998</v>
      </c>
      <c r="L101" s="79">
        <f t="shared" si="32"/>
        <v>25693.884374999994</v>
      </c>
      <c r="M101" s="79">
        <f t="shared" si="32"/>
        <v>5161.7999999999956</v>
      </c>
      <c r="N101" s="79">
        <f t="shared" si="32"/>
        <v>-17529.311312500002</v>
      </c>
      <c r="O101" s="79">
        <f t="shared" si="32"/>
        <v>3341.25</v>
      </c>
      <c r="P101" s="79">
        <f t="shared" si="32"/>
        <v>-36571.193750000006</v>
      </c>
      <c r="Q101" s="79">
        <f t="shared" si="32"/>
        <v>39694.168749999997</v>
      </c>
      <c r="R101" s="91">
        <f t="shared" si="28"/>
        <v>-31779.576493750021</v>
      </c>
      <c r="S101" s="34">
        <f t="shared" si="32"/>
        <v>540539</v>
      </c>
      <c r="T101" s="34">
        <f t="shared" si="32"/>
        <v>542913.33333333326</v>
      </c>
      <c r="U101" s="50">
        <v>18810.882968750084</v>
      </c>
      <c r="V101" s="69">
        <f>R101/U101-1</f>
        <v>-2.6894250284021441</v>
      </c>
    </row>
    <row r="102" spans="1:23" x14ac:dyDescent="0.3">
      <c r="A102" s="29" t="s">
        <v>124</v>
      </c>
      <c r="D102" s="3"/>
      <c r="E102" s="3"/>
      <c r="F102" s="3"/>
      <c r="G102" s="3"/>
      <c r="H102" s="83">
        <f>H101/H33</f>
        <v>0.20875795462500002</v>
      </c>
      <c r="I102" s="83">
        <f t="shared" ref="I102:Q102" si="33">I101/I33</f>
        <v>0.11010831335616435</v>
      </c>
      <c r="J102" s="84">
        <f t="shared" si="33"/>
        <v>-0.8194118749999999</v>
      </c>
      <c r="K102" s="83">
        <f t="shared" si="33"/>
        <v>0.10000166678321679</v>
      </c>
      <c r="L102" s="83">
        <f t="shared" si="33"/>
        <v>9.3773300638686108E-2</v>
      </c>
      <c r="M102" s="83">
        <f t="shared" si="33"/>
        <v>8.3849902534112994E-2</v>
      </c>
      <c r="N102" s="83">
        <f t="shared" si="33"/>
        <v>-0.45661139131284195</v>
      </c>
      <c r="O102" s="83">
        <f t="shared" si="33"/>
        <v>9.0304054054054048E-2</v>
      </c>
      <c r="P102" s="83">
        <f t="shared" si="33"/>
        <v>-0.48761591666666676</v>
      </c>
      <c r="Q102" s="83">
        <f t="shared" si="33"/>
        <v>0.52229169407894738</v>
      </c>
      <c r="R102" s="3"/>
      <c r="S102" s="3">
        <f>S101-520000</f>
        <v>20539</v>
      </c>
      <c r="T102" s="3">
        <f>T101-520000</f>
        <v>22913.333333333256</v>
      </c>
      <c r="U102" s="6"/>
    </row>
    <row r="103" spans="1:23" ht="15.6" x14ac:dyDescent="0.3">
      <c r="A103" s="224"/>
      <c r="B103" s="224"/>
      <c r="C103" s="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5"/>
    </row>
    <row r="104" spans="1:23" x14ac:dyDescent="0.3">
      <c r="A104" s="29" t="s">
        <v>132</v>
      </c>
      <c r="D104" s="6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66"/>
      <c r="S104" s="3"/>
      <c r="T104" s="3"/>
      <c r="W104" t="s">
        <v>149</v>
      </c>
    </row>
    <row r="105" spans="1:23" x14ac:dyDescent="0.3"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78"/>
      <c r="S105" s="3"/>
      <c r="T105" s="3"/>
    </row>
    <row r="106" spans="1:23" x14ac:dyDescent="0.3">
      <c r="A106" s="29" t="s">
        <v>107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66"/>
      <c r="S106" s="3"/>
      <c r="T106" s="3"/>
    </row>
  </sheetData>
  <mergeCells count="5">
    <mergeCell ref="R1:R2"/>
    <mergeCell ref="U1:U2"/>
    <mergeCell ref="V1:V2"/>
    <mergeCell ref="A100:B100"/>
    <mergeCell ref="A103:B103"/>
  </mergeCells>
  <pageMargins left="0.7" right="0.7" top="0.75" bottom="0.75" header="0.3" footer="0.3"/>
  <pageSetup scale="68" fitToHeight="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91B81-AA09-4DC0-A2C4-7618626702CE}">
  <sheetPr>
    <pageSetUpPr fitToPage="1"/>
  </sheetPr>
  <dimension ref="A1:M36"/>
  <sheetViews>
    <sheetView topLeftCell="A4" workbookViewId="0">
      <selection activeCell="E14" sqref="E14"/>
    </sheetView>
  </sheetViews>
  <sheetFormatPr defaultRowHeight="14.4" x14ac:dyDescent="0.3"/>
  <cols>
    <col min="1" max="1" width="17.5546875" customWidth="1"/>
    <col min="2" max="2" width="20.109375" customWidth="1"/>
    <col min="3" max="3" width="5" customWidth="1"/>
    <col min="4" max="4" width="13.44140625" customWidth="1"/>
    <col min="5" max="5" width="13.6640625" customWidth="1"/>
    <col min="8" max="9" width="10" bestFit="1" customWidth="1"/>
  </cols>
  <sheetData>
    <row r="1" spans="1:13" x14ac:dyDescent="0.3">
      <c r="D1" s="2" t="s">
        <v>156</v>
      </c>
    </row>
    <row r="2" spans="1:13" x14ac:dyDescent="0.3">
      <c r="D2" s="2" t="s">
        <v>95</v>
      </c>
      <c r="E2" s="2" t="s">
        <v>96</v>
      </c>
    </row>
    <row r="3" spans="1:13" x14ac:dyDescent="0.3">
      <c r="A3" s="12" t="s">
        <v>19</v>
      </c>
      <c r="D3" s="58">
        <v>340000</v>
      </c>
      <c r="E3" s="59">
        <v>340000</v>
      </c>
      <c r="F3" t="s">
        <v>101</v>
      </c>
    </row>
    <row r="4" spans="1:13" ht="15" thickBot="1" x14ac:dyDescent="0.35">
      <c r="A4" s="12" t="s">
        <v>20</v>
      </c>
      <c r="D4" s="60">
        <f>D15</f>
        <v>1047450</v>
      </c>
      <c r="E4" s="61">
        <f>E15</f>
        <v>1048950</v>
      </c>
    </row>
    <row r="5" spans="1:13" x14ac:dyDescent="0.3">
      <c r="A5" s="12"/>
      <c r="D5" s="58">
        <f>SUM(D3:D4)</f>
        <v>1387450</v>
      </c>
      <c r="E5" s="58">
        <f>SUM(E3:E4)</f>
        <v>1388950</v>
      </c>
    </row>
    <row r="6" spans="1:13" x14ac:dyDescent="0.3">
      <c r="A6" s="65" t="s">
        <v>130</v>
      </c>
      <c r="D6" s="58"/>
      <c r="E6" s="59"/>
    </row>
    <row r="7" spans="1:13" x14ac:dyDescent="0.3">
      <c r="A7" s="12" t="s">
        <v>1</v>
      </c>
      <c r="B7" t="s">
        <v>99</v>
      </c>
      <c r="D7" s="58">
        <v>365000</v>
      </c>
      <c r="E7" s="76">
        <v>365000</v>
      </c>
    </row>
    <row r="8" spans="1:13" x14ac:dyDescent="0.3">
      <c r="A8" s="12"/>
      <c r="B8" t="s">
        <v>98</v>
      </c>
      <c r="D8" s="58">
        <v>157500</v>
      </c>
      <c r="E8" s="76">
        <f>60000+50000+14000+100000+50000</f>
        <v>274000</v>
      </c>
    </row>
    <row r="9" spans="1:13" x14ac:dyDescent="0.3">
      <c r="A9" s="12" t="s">
        <v>97</v>
      </c>
      <c r="B9" t="s">
        <v>0</v>
      </c>
      <c r="D9" s="58">
        <v>125000</v>
      </c>
      <c r="E9" s="76">
        <v>125000</v>
      </c>
      <c r="F9" t="s">
        <v>157</v>
      </c>
    </row>
    <row r="10" spans="1:13" x14ac:dyDescent="0.3">
      <c r="A10" s="12" t="s">
        <v>127</v>
      </c>
      <c r="B10" t="s">
        <v>128</v>
      </c>
      <c r="D10" s="58">
        <v>0</v>
      </c>
      <c r="E10" s="76">
        <v>10000</v>
      </c>
      <c r="F10" t="s">
        <v>204</v>
      </c>
    </row>
    <row r="11" spans="1:13" x14ac:dyDescent="0.3">
      <c r="A11" s="12" t="s">
        <v>129</v>
      </c>
      <c r="B11" t="s">
        <v>116</v>
      </c>
      <c r="D11" s="59">
        <v>100000</v>
      </c>
      <c r="E11" s="76">
        <v>100000</v>
      </c>
    </row>
    <row r="12" spans="1:13" x14ac:dyDescent="0.3">
      <c r="A12" s="12" t="s">
        <v>5</v>
      </c>
      <c r="B12" t="s">
        <v>102</v>
      </c>
      <c r="D12" s="58">
        <v>61560</v>
      </c>
      <c r="E12" s="59">
        <v>61560</v>
      </c>
      <c r="F12" t="s">
        <v>154</v>
      </c>
    </row>
    <row r="13" spans="1:13" x14ac:dyDescent="0.3">
      <c r="A13" s="12" t="s">
        <v>103</v>
      </c>
      <c r="B13" t="s">
        <v>203</v>
      </c>
      <c r="D13" s="58">
        <v>113390</v>
      </c>
      <c r="E13" s="76">
        <v>38390</v>
      </c>
      <c r="F13" t="s">
        <v>155</v>
      </c>
      <c r="K13" s="44"/>
    </row>
    <row r="14" spans="1:13" ht="15" thickBot="1" x14ac:dyDescent="0.35">
      <c r="A14" s="12" t="s">
        <v>106</v>
      </c>
      <c r="B14" t="s">
        <v>115</v>
      </c>
      <c r="D14" s="60">
        <v>125000</v>
      </c>
      <c r="E14" s="244">
        <v>75000</v>
      </c>
      <c r="F14" t="s">
        <v>126</v>
      </c>
    </row>
    <row r="15" spans="1:13" x14ac:dyDescent="0.3">
      <c r="A15" s="12"/>
      <c r="D15" s="64">
        <f>SUM(D7:D14)</f>
        <v>1047450</v>
      </c>
      <c r="E15" s="64">
        <f>SUM(E7:E14)</f>
        <v>1048950</v>
      </c>
      <c r="M15" s="63"/>
    </row>
    <row r="16" spans="1:13" x14ac:dyDescent="0.3">
      <c r="A16" s="12"/>
      <c r="D16" s="64"/>
      <c r="E16" s="59"/>
      <c r="M16" s="63"/>
    </row>
    <row r="17" spans="1:9" x14ac:dyDescent="0.3">
      <c r="A17" s="65" t="s">
        <v>21</v>
      </c>
      <c r="D17" s="58"/>
      <c r="E17" s="59"/>
    </row>
    <row r="18" spans="1:9" x14ac:dyDescent="0.3">
      <c r="A18" s="12" t="s">
        <v>100</v>
      </c>
      <c r="B18" t="s">
        <v>2</v>
      </c>
      <c r="D18" s="58">
        <v>29600</v>
      </c>
      <c r="E18" s="67"/>
      <c r="F18" t="s">
        <v>151</v>
      </c>
    </row>
    <row r="19" spans="1:9" x14ac:dyDescent="0.3">
      <c r="A19" s="12" t="s">
        <v>7</v>
      </c>
      <c r="B19" t="s">
        <v>104</v>
      </c>
      <c r="D19" s="58">
        <v>60000</v>
      </c>
      <c r="E19" s="59">
        <v>75000</v>
      </c>
      <c r="F19" t="s">
        <v>105</v>
      </c>
    </row>
    <row r="20" spans="1:9" x14ac:dyDescent="0.3">
      <c r="A20" s="12" t="s">
        <v>0</v>
      </c>
      <c r="B20" t="s">
        <v>92</v>
      </c>
      <c r="D20" s="58">
        <v>25000</v>
      </c>
      <c r="E20" s="76">
        <v>25000</v>
      </c>
    </row>
    <row r="21" spans="1:9" ht="15" thickBot="1" x14ac:dyDescent="0.35">
      <c r="A21" s="12" t="s">
        <v>3</v>
      </c>
      <c r="B21" t="s">
        <v>92</v>
      </c>
      <c r="D21" s="60">
        <v>71500</v>
      </c>
      <c r="E21" s="61">
        <v>71500</v>
      </c>
    </row>
    <row r="22" spans="1:9" x14ac:dyDescent="0.3">
      <c r="A22" s="12"/>
      <c r="D22" s="58">
        <f>'Budget APPR 12.2026 w FIXES'!R24</f>
        <v>186100</v>
      </c>
      <c r="E22" s="59">
        <f>SUM(E18:E21)</f>
        <v>171500</v>
      </c>
      <c r="H22" s="63"/>
    </row>
    <row r="23" spans="1:9" x14ac:dyDescent="0.3">
      <c r="A23" s="12"/>
      <c r="D23" s="58"/>
      <c r="E23" s="59"/>
    </row>
    <row r="24" spans="1:9" x14ac:dyDescent="0.3">
      <c r="A24" s="12" t="s">
        <v>22</v>
      </c>
      <c r="D24" s="58">
        <f>'Budget APPR 12.2026 w FIXES'!R25</f>
        <v>7078</v>
      </c>
      <c r="E24" s="76">
        <v>133193</v>
      </c>
      <c r="F24" t="s">
        <v>158</v>
      </c>
    </row>
    <row r="25" spans="1:9" x14ac:dyDescent="0.3">
      <c r="A25" s="12" t="s">
        <v>23</v>
      </c>
      <c r="D25" s="64">
        <v>4000</v>
      </c>
      <c r="E25" s="74">
        <v>2500</v>
      </c>
      <c r="F25" t="s">
        <v>134</v>
      </c>
    </row>
    <row r="26" spans="1:9" x14ac:dyDescent="0.3">
      <c r="A26" s="12"/>
      <c r="D26" s="58"/>
      <c r="E26" s="59"/>
    </row>
    <row r="27" spans="1:9" x14ac:dyDescent="0.3">
      <c r="A27" s="12" t="s">
        <v>24</v>
      </c>
      <c r="D27" s="58">
        <v>45000</v>
      </c>
      <c r="E27" s="67">
        <v>42326</v>
      </c>
      <c r="F27" t="s">
        <v>153</v>
      </c>
    </row>
    <row r="28" spans="1:9" ht="15" thickBot="1" x14ac:dyDescent="0.35">
      <c r="A28" s="12" t="s">
        <v>25</v>
      </c>
      <c r="D28" s="60">
        <v>25000</v>
      </c>
      <c r="E28" s="82"/>
      <c r="F28" t="s">
        <v>152</v>
      </c>
    </row>
    <row r="29" spans="1:9" x14ac:dyDescent="0.3">
      <c r="A29" s="12"/>
      <c r="D29" s="58">
        <f>SUM(D27:D28)</f>
        <v>70000</v>
      </c>
      <c r="E29" s="58">
        <f>SUM(E27:E28)</f>
        <v>42326</v>
      </c>
    </row>
    <row r="30" spans="1:9" x14ac:dyDescent="0.3">
      <c r="A30" s="12" t="s">
        <v>26</v>
      </c>
      <c r="D30" s="58"/>
      <c r="E30" s="59"/>
    </row>
    <row r="31" spans="1:9" ht="15" thickBot="1" x14ac:dyDescent="0.35">
      <c r="A31" s="12" t="s">
        <v>27</v>
      </c>
      <c r="D31" s="60">
        <v>30000</v>
      </c>
      <c r="E31" s="82">
        <v>17750</v>
      </c>
      <c r="F31" t="s">
        <v>159</v>
      </c>
    </row>
    <row r="32" spans="1:9" ht="15" thickBot="1" x14ac:dyDescent="0.35">
      <c r="D32" s="60">
        <f>D31+D30+D29+D25+D24+D22+D15+D3</f>
        <v>1684628</v>
      </c>
      <c r="E32" s="60">
        <f>E31+E30+E29+E25+E24+E22+E15+E3</f>
        <v>1756219</v>
      </c>
      <c r="I32" s="63"/>
    </row>
    <row r="33" spans="4:5" x14ac:dyDescent="0.3">
      <c r="D33" s="59"/>
      <c r="E33" s="59"/>
    </row>
    <row r="34" spans="4:5" x14ac:dyDescent="0.3">
      <c r="D34" s="62"/>
      <c r="E34" s="243">
        <f>E32-D32</f>
        <v>71591</v>
      </c>
    </row>
    <row r="35" spans="4:5" x14ac:dyDescent="0.3">
      <c r="D35" s="62"/>
      <c r="E35" s="59"/>
    </row>
    <row r="36" spans="4:5" x14ac:dyDescent="0.3">
      <c r="D36" s="62"/>
      <c r="E36" s="59"/>
    </row>
  </sheetData>
  <pageMargins left="0.7" right="0.7" top="0.75" bottom="0.75" header="0.3" footer="0.3"/>
  <pageSetup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1525F783FE534BB3E7C7AD1D3C2C17" ma:contentTypeVersion="18" ma:contentTypeDescription="Create a new document." ma:contentTypeScope="" ma:versionID="aa305a27cef5c3556400f1f30e02564d">
  <xsd:schema xmlns:xsd="http://www.w3.org/2001/XMLSchema" xmlns:xs="http://www.w3.org/2001/XMLSchema" xmlns:p="http://schemas.microsoft.com/office/2006/metadata/properties" xmlns:ns2="f0d5edce-8ea1-4494-9d99-c32edd3ac741" xmlns:ns3="3af2847b-6d1f-477f-8e98-8d0dbb30a73d" targetNamespace="http://schemas.microsoft.com/office/2006/metadata/properties" ma:root="true" ma:fieldsID="a9554455d6156d5a7d273cbb339f94a1" ns2:_="" ns3:_="">
    <xsd:import namespace="f0d5edce-8ea1-4494-9d99-c32edd3ac741"/>
    <xsd:import namespace="3af2847b-6d1f-477f-8e98-8d0dbb30a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5edce-8ea1-4494-9d99-c32edd3ac7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085c1c-802b-4ee0-aab6-64372167bc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2847b-6d1f-477f-8e98-8d0dbb30a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f7db3f7-8ce9-4154-9bd9-2b4f77e070d7}" ma:internalName="TaxCatchAll" ma:showField="CatchAllData" ma:web="3af2847b-6d1f-477f-8e98-8d0dbb30a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f2847b-6d1f-477f-8e98-8d0dbb30a73d" xsi:nil="true"/>
    <lcf76f155ced4ddcb4097134ff3c332f xmlns="f0d5edce-8ea1-4494-9d99-c32edd3ac7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98B93C-0266-428F-9B31-01F3F1C84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5edce-8ea1-4494-9d99-c32edd3ac741"/>
    <ds:schemaRef ds:uri="3af2847b-6d1f-477f-8e98-8d0dbb30a7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ADDC30-2A80-4762-8CFA-CF9342ACDA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BA4E6A-B571-4FEF-BB9F-C1BF60AB4C72}">
  <ds:schemaRefs>
    <ds:schemaRef ds:uri="3ce9e430-0d6b-4fa8-b1d6-1570b6e8bbd4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60f58e98-3ffb-4a03-a0fd-787a7cc786e6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3af2847b-6d1f-477f-8e98-8d0dbb30a73d"/>
    <ds:schemaRef ds:uri="f0d5edce-8ea1-4494-9d99-c32edd3ac7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Budget Summaries &gt;&gt;&gt;</vt:lpstr>
      <vt:lpstr>Budget - Comparison_MAY</vt:lpstr>
      <vt:lpstr>zBudget - Comparison_MAY</vt:lpstr>
      <vt:lpstr>2026 Budget - Summary</vt:lpstr>
      <vt:lpstr>2026 Budget - Detail</vt:lpstr>
      <vt:lpstr>Budget Sheets &gt;&gt;&gt;</vt:lpstr>
      <vt:lpstr>Budget APPR 12.2026 w FIXES</vt:lpstr>
      <vt:lpstr>Budget APPR w FIXES and ADJ</vt:lpstr>
      <vt:lpstr>Revenue Act v Budget</vt:lpstr>
      <vt:lpstr>'2026 Budget - Detail'!Print_Area</vt:lpstr>
      <vt:lpstr>'Budget APPR 12.2026 w FIXES'!Print_Area</vt:lpstr>
      <vt:lpstr>'Budget APPR w FIXES and ADJ'!Print_Area</vt:lpstr>
      <vt:lpstr>'Revenue Act v Budget'!Print_Area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Coit</dc:creator>
  <cp:keywords/>
  <dc:description/>
  <cp:lastModifiedBy>Elizabeth Coit</cp:lastModifiedBy>
  <cp:revision/>
  <cp:lastPrinted>2025-12-02T18:52:22Z</cp:lastPrinted>
  <dcterms:created xsi:type="dcterms:W3CDTF">2024-09-07T17:47:10Z</dcterms:created>
  <dcterms:modified xsi:type="dcterms:W3CDTF">2026-08-13T15:17:09Z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0x010100E71525F783FE534BB3E7C7AD1D3C2C17</vt:lpwstr>
  </property>
  <property fmtid="{D5CDD505-2E9C-101B-9397-08002B2CF9AE}" pid="3" name="MediaServiceImageTags">
    <vt:lpwstr/>
  </property>
</Properties>
</file>